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70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<sst xmlns="http://schemas.openxmlformats.org/spreadsheetml/2006/main" count="1081" uniqueCount="538">
  <si>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</si>
  <si>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</si>
  <si>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</si>
  <si>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</si>
  <si>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</si>
  <si>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</si>
  <si>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</si>
  <si>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</si>
  <si>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</si>
  <si>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</si>
  <si>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</si>
  <si>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</si>
  <si>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</si>
  <si>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</si>
  <si>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</si>
  <si>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</si>
  <si>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</si>
  <si>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</si>
  <si>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</si>
  <si>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</si>
  <si>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</si>
  <si>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</si>
  <si>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</si>
  <si>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</si>
  <si>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</si>
  <si>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</si>
  <si>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</si>
  <si>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</si>
  <si>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</si>
  <si>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</si>
  <si>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</si>
  <si>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</si>
  <si>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</si>
  <si>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</si>
  <si>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</si>
  <si>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</si>
  <si>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</si>
  <si>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</si>
  <si>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</si>
  <si>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</si>
  <si>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</si>
  <si>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</si>
  <si>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</si>
  <si>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</si>
  <si>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</si>
  <si>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</si>
  <si>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</si>
  <si>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</si>
  <si>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</si>
  <si>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</si>
  <si>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</si>
  <si>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</si>
  <si>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</si>
  <si>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</si>
  <si>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</si>
  <si>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</si>
  <si>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</si>
  <si>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</si>
  <si>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</si>
  <si>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</si>
  <si>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</si>
  <si>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</si>
  <si>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</si>
  <si>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</si>
  <si>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</si>
  <si>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</si>
  <si>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</si>
  <si>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</si>
  <si>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</si>
  <si>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</si>
  <si>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</si>
  <si>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</si>
  <si>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</si>
  <si>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</si>
  <si>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</si>
  <si>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</si>
  <si>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</si>
  <si>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</si>
  <si>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</si>
  <si>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</si>
  <si>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</si>
  <si>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</si>
  <si>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</si>
  <si>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</si>
  <si>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</si>
  <si>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</si>
  <si>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</si>
  <si>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</si>
  <si>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</si>
  <si>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</si>
  <si>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</si>
  <si>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</si>
  <si>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</si>
  <si>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</si>
  <si>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</si>
  <si>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</si>
  <si>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</si>
  <si>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</si>
  <si>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</si>
  <si>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</si>
  <si>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</si>
  <si>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</si>
  <si>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</si>
  <si>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</si>
  <si>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</si>
  <si>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</si>
  <si>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</si>
  <si>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</si>
  <si>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</si>
  <si>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</si>
  <si>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</si>
  <si>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</si>
  <si>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</si>
  <si>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</si>
  <si>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</si>
  <si>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</si>
  <si>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</si>
  <si>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</si>
  <si>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</si>
  <si>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</si>
  <si>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</si>
  <si>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</si>
  <si>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</si>
  <si>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</si>
  <si>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</si>
  <si>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</si>
  <si>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</si>
  <si>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</si>
  <si>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</si>
  <si>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</si>
  <si>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</si>
  <si>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</si>
  <si>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</si>
  <si>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</si>
  <si>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</si>
  <si>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</si>
  <si>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</si>
  <si>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</si>
  <si>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</si>
  <si>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</si>
  <si>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</si>
  <si>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</si>
  <si>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</si>
  <si>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</si>
  <si>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</si>
  <si>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</si>
  <si>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</si>
  <si>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</si>
  <si>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</si>
  <si>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</si>
  <si>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</si>
  <si>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</si>
  <si>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</si>
  <si>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</si>
  <si>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</si>
  <si>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</si>
  <si>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</si>
  <si>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</si>
  <si>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</si>
  <si>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</si>
  <si>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</si>
  <si>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</si>
  <si>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</si>
  <si>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</si>
  <si>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</si>
  <si>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</si>
  <si>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</si>
  <si>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</si>
  <si>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</si>
  <si>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</si>
  <si>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</si>
  <si>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</si>
  <si>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</si>
  <si>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</si>
  <si>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</si>
  <si>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</si>
  <si>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</si>
  <si>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</si>
  <si>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</si>
  <si>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</si>
  <si>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</si>
  <si>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</si>
  <si>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</si>
  <si>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</si>
  <si>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</si>
  <si>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</si>
  <si>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</si>
  <si>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</si>
  <si>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</si>
  <si>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</si>
  <si>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</si>
  <si>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</si>
  <si>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</si>
  <si>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</si>
  <si>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</si>
  <si>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</si>
  <si>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</si>
  <si>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</si>
  <si>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</si>
  <si>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</si>
  <si>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</si>
  <si>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</si>
  <si>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</si>
  <si>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</si>
  <si>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</si>
  <si>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</si>
  <si>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</si>
  <si>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</si>
  <si>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</si>
  <si>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</si>
  <si>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</si>
  <si>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</si>
  <si>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</si>
  <si>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</si>
  <si>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</si>
  <si>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</si>
  <si>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</si>
  <si>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</si>
  <si>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</si>
  <si>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</si>
  <si>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</si>
  <si>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</si>
  <si>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</si>
  <si>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</si>
  <si>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</si>
  <si>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</si>
  <si>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</si>
  <si>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</si>
  <si>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</si>
  <si>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</si>
  <si>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</si>
  <si>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</si>
  <si>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</si>
  <si>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</si>
  <si>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</si>
  <si>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</si>
  <si>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</si>
  <si>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</si>
  <si>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</si>
  <si>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</si>
  <si>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</si>
  <si>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</si>
  <si>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</si>
  <si>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</si>
  <si>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</si>
  <si>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</si>
  <si>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</si>
  <si>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</si>
  <si>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</si>
  <si>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</si>
  <si>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</si>
  <si>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</si>
  <si>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</si>
  <si>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</si>
  <si>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</si>
  <si>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</si>
  <si>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</si>
  <si>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</si>
  <si>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</si>
  <si>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</si>
  <si>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</si>
  <si>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</si>
  <si>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</si>
  <si>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</si>
  <si>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</si>
  <si>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</si>
  <si>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</si>
  <si>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</si>
  <si>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</si>
  <si>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</si>
  <si>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</si>
  <si>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</si>
  <si>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</si>
  <si>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</si>
  <si>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</si>
  <si>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</si>
  <si>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</si>
  <si>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</si>
  <si>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</si>
  <si>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</si>
  <si>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</si>
  <si>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</si>
  <si>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</si>
  <si>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</si>
  <si>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</si>
  <si>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</si>
  <si>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</si>
  <si>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</si>
  <si>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</si>
  <si>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</si>
  <si>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</si>
  <si>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</si>
  <si>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</si>
  <si>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</si>
  <si>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</si>
  <si>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</si>
  <si>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</si>
  <si>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</si>
  <si>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</si>
  <si>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</si>
  <si>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</si>
  <si>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</si>
  <si>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</si>
  <si>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</si>
  <si>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</si>
  <si>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</si>
  <si>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</si>
  <si>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</si>
  <si>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</si>
  <si>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</si>
  <si>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</si>
  <si>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</si>
  <si>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</si>
  <si>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</si>
  <si>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</si>
  <si>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</si>
  <si>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</si>
  <si>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</si>
  <si>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</si>
  <si>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</si>
  <si>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</si>
  <si>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</si>
  <si>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</si>
  <si>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</si>
  <si>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</si>
  <si>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</si>
  <si>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</si>
  <si>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</si>
  <si>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</si>
  <si>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</si>
  <si>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</si>
  <si>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</si>
  <si>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</si>
  <si>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</si>
  <si>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</si>
  <si>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</si>
  <si>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</si>
  <si>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</si>
  <si>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</si>
  <si>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</si>
  <si>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</si>
  <si>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</si>
  <si>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</si>
  <si>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</si>
  <si>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</si>
  <si>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</si>
  <si>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</si>
  <si>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</si>
  <si>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</si>
  <si>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</si>
  <si>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</si>
  <si>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</si>
  <si>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</si>
  <si>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</si>
  <si>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</si>
  <si>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</si>
  <si>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</si>
  <si>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</si>
  <si>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</si>
  <si>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</si>
  <si>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</si>
  <si>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</si>
  <si>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</si>
  <si>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</si>
  <si>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</si>
  <si>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</si>
  <si>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</si>
  <si>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</si>
  <si>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</si>
  <si>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</si>
  <si>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</si>
  <si>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</si>
  <si>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</si>
  <si>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</si>
  <si>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</si>
  <si>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</si>
  <si>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</si>
  <si>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</si>
  <si>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</si>
  <si>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</si>
  <si>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</si>
  <si>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</si>
  <si>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</si>
  <si>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</si>
  <si>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</si>
  <si>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</si>
  <si>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</si>
  <si>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</si>
  <si>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</si>
  <si>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</si>
  <si>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</si>
  <si>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</si>
  <si>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</si>
  <si>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</si>
  <si>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</si>
  <si>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</si>
  <si>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</si>
  <si>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</si>
  <si>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</si>
  <si>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</si>
  <si>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</si>
  <si>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</si>
  <si>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</si>
  <si>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</si>
  <si>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</si>
  <si>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</si>
  <si>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</si>
  <si>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</si>
  <si>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</si>
  <si>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</si>
  <si>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</si>
  <si>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</si>
  <si>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</si>
  <si>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</si>
  <si>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</si>
  <si>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</si>
  <si>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</si>
  <si>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</si>
  <si>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</si>
  <si>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</si>
  <si>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</si>
  <si>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</si>
  <si>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</si>
  <si>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</si>
  <si>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</si>
  <si>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</si>
  <si>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</si>
  <si>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t>peab üldjuhul olema OK. Erinevus võib tekkida nt refinantseerimisest.</t>
  </si>
  <si>
    <t xml:space="preserve">2022 eelarve 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</si>
  <si>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</si>
  <si>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</si>
  <si>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</si>
  <si>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</si>
  <si>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</si>
  <si>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</si>
  <si>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</si>
  <si>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</si>
  <si>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</si>
  <si>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</si>
  <si>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</si>
  <si>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</si>
  <si>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</si>
  <si>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</si>
  <si>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</si>
  <si>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</si>
  <si>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>kui saadi nt katuseraha, siis võtta ülesse kohustusena riigi ees plussiga, järgmisel aastal tuleb seda vähendada miinusega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</si>
  <si>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</si>
  <si>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</si>
  <si>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</si>
  <si>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</si>
  <si>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</si>
  <si>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</si>
  <si>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</si>
  <si>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</si>
  <si>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2024 eelarve  </t>
  </si>
  <si>
    <t>Lisatud 2 alarida</t>
  </si>
  <si>
    <t>1:1 kopeeritav 2020 e/a aruandest</t>
  </si>
  <si>
    <t>2020 täitmine</t>
  </si>
  <si>
    <t>2021 eeldatav täitmine</t>
  </si>
  <si>
    <t xml:space="preserve">2025 eelarve  </t>
  </si>
  <si>
    <t>kuni 2024. a kas 10-kordne põhitegevuse tulem või 80% põhitegevuse tuludest, kumb on suurem, kuid mitte rohkem kui 100%. Edaspidi hakkab vähenema 5% võrra.</t>
  </si>
  <si>
    <t>2021 .a eelda-tav täitmine</t>
  </si>
  <si>
    <t xml:space="preserve"> 2020. tekkepõhine täitmine</t>
  </si>
  <si>
    <t xml:space="preserve">2020 ja 2021 täituvad automaatselt eelarvearuande lehelt!!! </t>
  </si>
  <si>
    <t>Ei saa rohkem suunata kui reale 41 eelmisel aastal jääb.</t>
  </si>
  <si>
    <t>4 kuu baasil</t>
  </si>
  <si>
    <t>Vahi tänav koostöös Tartu linnaga</t>
  </si>
  <si>
    <t>Kuusisoo tee</t>
  </si>
  <si>
    <t>Lasteaia tänav Kõrvekülas</t>
  </si>
  <si>
    <t>Muuseumi tee pikendus</t>
  </si>
  <si>
    <t>Kooli tn Kõrvekülas</t>
  </si>
  <si>
    <t>Viinapruuli tn</t>
  </si>
  <si>
    <t>Raadiraja tn</t>
  </si>
  <si>
    <t>Ermi tn</t>
  </si>
  <si>
    <t>Keskuse tee</t>
  </si>
  <si>
    <t>Karjamõisa tee (Äksi)</t>
  </si>
  <si>
    <t>04 MAJANDUS</t>
  </si>
  <si>
    <t>05 KESKKONNAKAITSE</t>
  </si>
  <si>
    <t>Jäätmemajandus</t>
  </si>
  <si>
    <t>06 ELAMUMAJANDUS</t>
  </si>
  <si>
    <t>Tuletõrje veevarustus</t>
  </si>
  <si>
    <t>Terviseradade tunnel</t>
  </si>
  <si>
    <t>Kõrvekülapõhikooli spordihoone</t>
  </si>
  <si>
    <t>Lähte staadion</t>
  </si>
  <si>
    <t>Kõrveküla staadionid</t>
  </si>
  <si>
    <t>Lähte jääväljak/-hall</t>
  </si>
  <si>
    <t>Terviserajad</t>
  </si>
  <si>
    <t>mänguväljakud</t>
  </si>
  <si>
    <t>Raadi jalgpalliväljak</t>
  </si>
  <si>
    <t>01 ÜLDISED VALITSUSSEKTORI TEENUSED</t>
  </si>
  <si>
    <t>Vallamaja rekonstrueerimine</t>
  </si>
  <si>
    <t>09 HARIDUS</t>
  </si>
  <si>
    <t>Laeva LA katus, küttesüstem</t>
  </si>
  <si>
    <t>Maarja lasteaed</t>
  </si>
  <si>
    <t>Lähte kool</t>
  </si>
  <si>
    <t>Muusikakool</t>
  </si>
  <si>
    <t xml:space="preserve"> </t>
  </si>
  <si>
    <t>Vahi tänava kõnnitee koostöös Tartu linna tänavaehitusega Vahi tee-Killustiku põik</t>
  </si>
  <si>
    <t>Ettevõtted osalevad projektis50%</t>
  </si>
  <si>
    <t>2022 -kergliiklustee kaupmehe-keskuse tee 5 lõik, 2023 projekteerimine kooli jaoks, 2024-2025 ehitus</t>
  </si>
  <si>
    <t>Laeva kergliiklustee</t>
  </si>
  <si>
    <t>Nõlvakaare tänav</t>
  </si>
  <si>
    <t>Tänava pikendamine lennurajani</t>
  </si>
  <si>
    <t>Tartu Valla Kommunaal OÜ</t>
  </si>
  <si>
    <t>Lähte LA kütte müük Raadi SA-le</t>
  </si>
  <si>
    <t>sh PV kulum  -177209 kuludest maas (vahe bilansilise tulemiga)</t>
  </si>
  <si>
    <t>Lähte spordihoone (müratõke jm)</t>
  </si>
  <si>
    <t>Tabivere kooli inventar</t>
  </si>
  <si>
    <t>Kõrveküla kool</t>
  </si>
  <si>
    <t>Generaatorid</t>
  </si>
  <si>
    <t>100,0 uus LA</t>
  </si>
  <si>
    <t>SAADJÄRVE SA</t>
  </si>
  <si>
    <t>2020 ja 2021 mõjutab/mõjutas käivet COVID 19, 2020 saadud toetused koos KOV-+EAS (Covid) = 138 240</t>
  </si>
  <si>
    <t>sh valla tegevustoetus 65,0 tuh.eurot/aastas</t>
  </si>
  <si>
    <t>Tulud 2024 - prognoositud Tartu 2024 (turistude arvu kasv)</t>
  </si>
  <si>
    <t>RAADI SA</t>
  </si>
  <si>
    <t>sihtfin. vallalt PV soetuseks (+); PV soetused (-)2021=Ripsiku 2.hoone prognoos 2,6 milj; 2022 Lähte LA renov.prognoos 0,5 milj.</t>
  </si>
  <si>
    <t>2021= juurde Ripsiku 2.hoone laen prognoositava limiidiga  2,6 mil.eurot</t>
  </si>
  <si>
    <t>Tartu Vallavalitsus</t>
  </si>
  <si>
    <r>
      <t xml:space="preserve">             sh alates </t>
    </r>
    <r>
      <rPr>
        <b/>
        <i/>
        <sz val="11"/>
        <rFont val="Times New Roman"/>
        <family val="1"/>
      </rPr>
      <t>2012</t>
    </r>
    <r>
      <rPr>
        <i/>
        <sz val="11"/>
        <rFont val="Times New Roman"/>
        <family val="1"/>
      </rPr>
      <t xml:space="preserve"> sõlmitud katkestamatud kasutusrendimaksed </t>
    </r>
  </si>
  <si>
    <r>
      <t>Siin on aasta makse, real 42 kogusumma (</t>
    </r>
    <r>
      <rPr>
        <b/>
        <u val="single"/>
        <sz val="11"/>
        <rFont val="Times New Roman"/>
        <family val="1"/>
      </rPr>
      <t>konto 913110</t>
    </r>
    <r>
      <rPr>
        <b/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</si>
  <si>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>Teederaha siin ei näita</t>
    </r>
    <r>
      <rPr>
        <sz val="11"/>
        <rFont val="Times New Roman"/>
        <family val="1"/>
      </rPr>
      <t xml:space="preserve">, see on real 10. </t>
    </r>
  </si>
  <si>
    <r>
      <t>Netovõlakoormus (</t>
    </r>
    <r>
      <rPr>
        <b/>
        <u val="single"/>
        <sz val="11"/>
        <rFont val="Times New Roman"/>
        <family val="1"/>
      </rPr>
      <t>eurodes</t>
    </r>
    <r>
      <rPr>
        <b/>
        <sz val="11"/>
        <rFont val="Times New Roman"/>
        <family val="1"/>
      </rPr>
      <t>)</t>
    </r>
  </si>
  <si>
    <r>
      <t>Netovõlakoormus (</t>
    </r>
    <r>
      <rPr>
        <b/>
        <u val="single"/>
        <sz val="11"/>
        <rFont val="Times New Roman"/>
        <family val="1"/>
      </rPr>
      <t>%</t>
    </r>
    <r>
      <rPr>
        <b/>
        <sz val="11"/>
        <rFont val="Times New Roman"/>
        <family val="1"/>
      </rPr>
      <t>)</t>
    </r>
  </si>
  <si>
    <r>
      <t>Netovõlakoormuse ülemmäär (</t>
    </r>
    <r>
      <rPr>
        <b/>
        <u val="single"/>
        <sz val="11"/>
        <rFont val="Times New Roman"/>
        <family val="1"/>
      </rPr>
      <t>eurodes</t>
    </r>
    <r>
      <rPr>
        <b/>
        <sz val="11"/>
        <rFont val="Times New Roman"/>
        <family val="1"/>
      </rPr>
      <t>)</t>
    </r>
  </si>
  <si>
    <r>
      <t>Netovõlakoormuse individuaalne ülemmäär (</t>
    </r>
    <r>
      <rPr>
        <b/>
        <u val="single"/>
        <sz val="11"/>
        <rFont val="Times New Roman"/>
        <family val="1"/>
      </rPr>
      <t>%</t>
    </r>
    <r>
      <rPr>
        <b/>
        <sz val="11"/>
        <rFont val="Times New Roman"/>
        <family val="1"/>
      </rPr>
      <t>)</t>
    </r>
  </si>
  <si>
    <t>Teed</t>
  </si>
  <si>
    <t>Kaasav eelarve</t>
  </si>
  <si>
    <t>Kergliiklusteed</t>
  </si>
  <si>
    <t>Teemaade soetamine</t>
  </si>
  <si>
    <t>Tabivere lasteaed</t>
  </si>
  <si>
    <t>08 VABA AEG, KULTUUR</t>
  </si>
  <si>
    <r>
      <t xml:space="preserve">    sh alates </t>
    </r>
    <r>
      <rPr>
        <b/>
        <i/>
        <sz val="8"/>
        <rFont val="Times New Roman"/>
        <family val="1"/>
      </rPr>
      <t>2012</t>
    </r>
    <r>
      <rPr>
        <i/>
        <sz val="8"/>
        <rFont val="Times New Roman"/>
        <family val="1"/>
      </rPr>
      <t xml:space="preserve"> sõlmitud katkestamatud kasutusrendimaksed</t>
    </r>
  </si>
  <si>
    <r>
      <t xml:space="preserve">    sh alates </t>
    </r>
    <r>
      <rPr>
        <b/>
        <i/>
        <sz val="8"/>
        <rFont val="Times New Roman"/>
        <family val="1"/>
      </rPr>
      <t>2012</t>
    </r>
    <r>
      <rPr>
        <i/>
        <sz val="8"/>
        <rFont val="Times New Roman"/>
        <family val="1"/>
      </rPr>
      <t xml:space="preserve"> katkestamatud kasutusrendimaksed (arvestusüksusesse mitte kuuluvatele üksustele)</t>
    </r>
  </si>
  <si>
    <t>Kaugküte</t>
  </si>
  <si>
    <t>Raadimõisa puhkeala</t>
  </si>
  <si>
    <t>Keskuse tee 11</t>
  </si>
  <si>
    <t>Rattaringlus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</si>
</sst>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  <numFmt numFmtId="198" formatCode="0.00000000"/>
    <numFmt numFmtId="199" formatCode="0.0000000"/>
    <numFmt numFmtId="200" formatCode="0.000000000"/>
    <numFmt numFmtId="201" formatCode="0.000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[$-425]dddd\,\ d\.\ mmmm\ yyyy"/>
  </numFmts>
  <fonts count="9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Calibri"/>
      <family val="2"/>
    </font>
    <font>
      <i/>
      <sz val="10"/>
      <name val="Cambria"/>
      <family val="1"/>
    </font>
    <font>
      <i/>
      <sz val="10"/>
      <color indexed="56"/>
      <name val="Cambria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Calibri"/>
      <family val="2"/>
    </font>
    <font>
      <i/>
      <sz val="10"/>
      <color rgb="FF002060"/>
      <name val="Cambria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0" fillId="0" borderId="0">
      <alignment/>
      <protection/>
    </xf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23" borderId="3" applyNumberFormat="0" applyAlignment="0" applyProtection="0"/>
    <xf numFmtId="0" fontId="5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0" fillId="24" borderId="5" applyNumberFormat="0" applyFont="0" applyAlignment="0" applyProtection="0"/>
    <xf numFmtId="0" fontId="76" fillId="25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2" borderId="1" applyNumberFormat="0" applyAlignment="0" applyProtection="0"/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20" borderId="9" applyNumberFormat="0" applyAlignment="0" applyProtection="0"/>
    <xf numFmtId="0" fontId="83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1" fillId="34" borderId="14" xfId="0" applyNumberFormat="1" applyFont="1" applyFill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5" xfId="0" applyFont="1" applyFill="1" applyBorder="1" applyAlignment="1">
      <alignment/>
    </xf>
    <xf numFmtId="3" fontId="1" fillId="34" borderId="14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wrapText="1"/>
    </xf>
    <xf numFmtId="189" fontId="0" fillId="34" borderId="14" xfId="0" applyNumberFormat="1" applyFont="1" applyFill="1" applyBorder="1" applyAlignment="1">
      <alignment wrapText="1"/>
    </xf>
    <xf numFmtId="189" fontId="0" fillId="34" borderId="15" xfId="0" applyNumberFormat="1" applyFont="1" applyFill="1" applyBorder="1" applyAlignment="1">
      <alignment wrapText="1"/>
    </xf>
    <xf numFmtId="3" fontId="0" fillId="34" borderId="14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189" fontId="0" fillId="34" borderId="14" xfId="0" applyNumberFormat="1" applyFont="1" applyFill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wrapText="1"/>
    </xf>
    <xf numFmtId="4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49" fontId="9" fillId="0" borderId="0" xfId="51" applyNumberFormat="1" applyFont="1" applyBorder="1">
      <alignment/>
      <protection/>
    </xf>
    <xf numFmtId="0" fontId="10" fillId="0" borderId="0" xfId="56" applyFont="1" applyBorder="1">
      <alignment/>
      <protection/>
    </xf>
    <xf numFmtId="4" fontId="11" fillId="0" borderId="19" xfId="56" applyNumberFormat="1" applyFont="1" applyFill="1" applyBorder="1" applyAlignment="1" applyProtection="1">
      <alignment wrapText="1"/>
      <protection locked="0"/>
    </xf>
    <xf numFmtId="0" fontId="12" fillId="0" borderId="20" xfId="56" applyFont="1" applyBorder="1">
      <alignment/>
      <protection/>
    </xf>
    <xf numFmtId="0" fontId="13" fillId="0" borderId="21" xfId="51" applyFont="1" applyBorder="1">
      <alignment/>
      <protection/>
    </xf>
    <xf numFmtId="0" fontId="12" fillId="0" borderId="20" xfId="56" applyFont="1" applyFill="1" applyBorder="1">
      <alignment/>
      <protection/>
    </xf>
    <xf numFmtId="0" fontId="13" fillId="0" borderId="21" xfId="56" applyFont="1" applyFill="1" applyBorder="1">
      <alignment/>
      <protection/>
    </xf>
    <xf numFmtId="0" fontId="10" fillId="0" borderId="0" xfId="56" applyFont="1" applyFill="1" applyBorder="1">
      <alignment/>
      <protection/>
    </xf>
    <xf numFmtId="0" fontId="10" fillId="0" borderId="21" xfId="56" applyFont="1" applyFill="1" applyBorder="1">
      <alignment/>
      <protection/>
    </xf>
    <xf numFmtId="0" fontId="0" fillId="0" borderId="11" xfId="56" applyFont="1" applyFill="1" applyBorder="1">
      <alignment/>
      <protection/>
    </xf>
    <xf numFmtId="3" fontId="0" fillId="0" borderId="15" xfId="0" applyNumberFormat="1" applyFont="1" applyFill="1" applyBorder="1" applyAlignment="1">
      <alignment wrapText="1"/>
    </xf>
    <xf numFmtId="0" fontId="1" fillId="0" borderId="11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3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0" fillId="0" borderId="22" xfId="56" applyFont="1" applyBorder="1">
      <alignment/>
      <protection/>
    </xf>
    <xf numFmtId="0" fontId="12" fillId="0" borderId="0" xfId="56" applyFont="1" applyFill="1" applyBorder="1" applyProtection="1">
      <alignment/>
      <protection locked="0"/>
    </xf>
    <xf numFmtId="0" fontId="3" fillId="0" borderId="0" xfId="56" applyFont="1" applyFill="1" applyBorder="1" applyProtection="1">
      <alignment/>
      <protection locked="0"/>
    </xf>
    <xf numFmtId="0" fontId="3" fillId="0" borderId="22" xfId="56" applyFont="1" applyFill="1" applyBorder="1" applyProtection="1">
      <alignment/>
      <protection locked="0"/>
    </xf>
    <xf numFmtId="0" fontId="3" fillId="0" borderId="21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0" fontId="3" fillId="0" borderId="0" xfId="56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3" fillId="0" borderId="21" xfId="56" applyFont="1" applyFill="1" applyBorder="1">
      <alignment/>
      <protection/>
    </xf>
    <xf numFmtId="0" fontId="3" fillId="0" borderId="21" xfId="51" applyFont="1" applyFill="1" applyBorder="1">
      <alignment/>
      <protection/>
    </xf>
    <xf numFmtId="0" fontId="3" fillId="0" borderId="22" xfId="56" applyFont="1" applyFill="1" applyBorder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20" xfId="51" applyFont="1" applyBorder="1">
      <alignment/>
      <protection/>
    </xf>
    <xf numFmtId="0" fontId="3" fillId="35" borderId="20" xfId="51" applyFont="1" applyFill="1" applyBorder="1">
      <alignment/>
      <protection/>
    </xf>
    <xf numFmtId="188" fontId="3" fillId="0" borderId="22" xfId="56" applyNumberFormat="1" applyFont="1" applyFill="1" applyBorder="1">
      <alignment/>
      <protection/>
    </xf>
    <xf numFmtId="0" fontId="3" fillId="0" borderId="21" xfId="56" applyFont="1" applyBorder="1">
      <alignment/>
      <protection/>
    </xf>
    <xf numFmtId="188" fontId="3" fillId="0" borderId="21" xfId="56" applyNumberFormat="1" applyFont="1" applyFill="1" applyBorder="1">
      <alignment/>
      <protection/>
    </xf>
    <xf numFmtId="49" fontId="3" fillId="0" borderId="0" xfId="51" applyNumberFormat="1" applyFont="1" applyBorder="1">
      <alignment/>
      <protection/>
    </xf>
    <xf numFmtId="0" fontId="3" fillId="0" borderId="0" xfId="51" applyFont="1">
      <alignment/>
      <protection/>
    </xf>
    <xf numFmtId="0" fontId="3" fillId="0" borderId="22" xfId="56" applyFont="1" applyFill="1" applyBorder="1" applyAlignment="1" applyProtection="1">
      <alignment horizontal="left"/>
      <protection locked="0"/>
    </xf>
    <xf numFmtId="0" fontId="3" fillId="0" borderId="21" xfId="56" applyFont="1" applyFill="1" applyBorder="1" applyAlignment="1" applyProtection="1">
      <alignment horizontal="left"/>
      <protection locked="0"/>
    </xf>
    <xf numFmtId="0" fontId="3" fillId="0" borderId="23" xfId="51" applyFont="1" applyBorder="1" applyAlignment="1">
      <alignment horizontal="left"/>
      <protection/>
    </xf>
    <xf numFmtId="0" fontId="3" fillId="0" borderId="22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24" xfId="51" applyFont="1" applyBorder="1" applyAlignment="1">
      <alignment horizontal="left"/>
      <protection/>
    </xf>
    <xf numFmtId="0" fontId="3" fillId="0" borderId="21" xfId="56" applyFont="1" applyFill="1" applyBorder="1" applyAlignment="1">
      <alignment horizontal="left"/>
      <protection/>
    </xf>
    <xf numFmtId="0" fontId="3" fillId="0" borderId="25" xfId="51" applyFont="1" applyBorder="1" applyAlignment="1">
      <alignment horizontal="left"/>
      <protection/>
    </xf>
    <xf numFmtId="0" fontId="10" fillId="0" borderId="21" xfId="56" applyFont="1" applyFill="1" applyBorder="1" applyAlignment="1">
      <alignment horizontal="left"/>
      <protection/>
    </xf>
    <xf numFmtId="49" fontId="3" fillId="0" borderId="22" xfId="56" applyNumberFormat="1" applyFont="1" applyFill="1" applyBorder="1" applyAlignment="1">
      <alignment horizontal="left"/>
      <protection/>
    </xf>
    <xf numFmtId="49" fontId="3" fillId="0" borderId="21" xfId="56" applyNumberFormat="1" applyFont="1" applyFill="1" applyBorder="1" applyAlignment="1">
      <alignment horizontal="left"/>
      <protection/>
    </xf>
    <xf numFmtId="49" fontId="12" fillId="0" borderId="23" xfId="55" applyNumberFormat="1" applyFont="1" applyFill="1" applyBorder="1" applyAlignment="1">
      <alignment horizontal="left"/>
      <protection/>
    </xf>
    <xf numFmtId="49" fontId="3" fillId="0" borderId="25" xfId="55" applyNumberFormat="1" applyFont="1" applyFill="1" applyBorder="1" applyAlignment="1">
      <alignment horizontal="left"/>
      <protection/>
    </xf>
    <xf numFmtId="0" fontId="3" fillId="0" borderId="25" xfId="55" applyFont="1" applyFill="1" applyBorder="1" applyAlignment="1">
      <alignment horizontal="left"/>
      <protection/>
    </xf>
    <xf numFmtId="0" fontId="3" fillId="0" borderId="24" xfId="55" applyFont="1" applyFill="1" applyBorder="1" applyAlignment="1">
      <alignment horizontal="left"/>
      <protection/>
    </xf>
    <xf numFmtId="49" fontId="3" fillId="0" borderId="24" xfId="55" applyNumberFormat="1" applyFont="1" applyFill="1" applyBorder="1" applyAlignment="1">
      <alignment horizontal="left"/>
      <protection/>
    </xf>
    <xf numFmtId="0" fontId="3" fillId="35" borderId="23" xfId="51" applyFont="1" applyFill="1" applyBorder="1" applyAlignment="1">
      <alignment horizontal="left"/>
      <protection/>
    </xf>
    <xf numFmtId="0" fontId="3" fillId="0" borderId="0" xfId="51" applyFont="1" applyBorder="1" applyAlignment="1">
      <alignment horizontal="left"/>
      <protection/>
    </xf>
    <xf numFmtId="49" fontId="3" fillId="0" borderId="0" xfId="51" applyNumberFormat="1" applyFont="1" applyBorder="1" applyAlignment="1">
      <alignment horizontal="left"/>
      <protection/>
    </xf>
    <xf numFmtId="0" fontId="3" fillId="0" borderId="20" xfId="56" applyFont="1" applyFill="1" applyBorder="1" applyAlignment="1" applyProtection="1">
      <alignment horizontal="left"/>
      <protection locked="0"/>
    </xf>
    <xf numFmtId="0" fontId="12" fillId="0" borderId="2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0" fontId="3" fillId="35" borderId="20" xfId="56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2" fillId="0" borderId="0" xfId="56" applyFont="1" applyFill="1" applyBorder="1" applyAlignment="1">
      <alignment/>
      <protection/>
    </xf>
    <xf numFmtId="0" fontId="10" fillId="0" borderId="0" xfId="0" applyFont="1" applyAlignment="1">
      <alignment/>
    </xf>
    <xf numFmtId="0" fontId="1" fillId="33" borderId="26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2" fillId="36" borderId="20" xfId="56" applyFont="1" applyFill="1" applyBorder="1" applyAlignment="1">
      <alignment horizontal="left"/>
      <protection/>
    </xf>
    <xf numFmtId="0" fontId="12" fillId="36" borderId="22" xfId="56" applyFont="1" applyFill="1" applyBorder="1">
      <alignment/>
      <protection/>
    </xf>
    <xf numFmtId="0" fontId="12" fillId="36" borderId="21" xfId="56" applyFont="1" applyFill="1" applyBorder="1" applyAlignment="1">
      <alignment horizontal="left"/>
      <protection/>
    </xf>
    <xf numFmtId="0" fontId="12" fillId="36" borderId="21" xfId="56" applyFont="1" applyFill="1" applyBorder="1">
      <alignment/>
      <protection/>
    </xf>
    <xf numFmtId="0" fontId="12" fillId="36" borderId="20" xfId="51" applyFont="1" applyFill="1" applyBorder="1" applyAlignment="1">
      <alignment horizontal="left"/>
      <protection/>
    </xf>
    <xf numFmtId="0" fontId="3" fillId="36" borderId="20" xfId="51" applyFont="1" applyFill="1" applyBorder="1">
      <alignment/>
      <protection/>
    </xf>
    <xf numFmtId="0" fontId="3" fillId="36" borderId="20" xfId="56" applyFont="1" applyFill="1" applyBorder="1">
      <alignment/>
      <protection/>
    </xf>
    <xf numFmtId="0" fontId="12" fillId="0" borderId="0" xfId="51" applyFont="1">
      <alignment/>
      <protection/>
    </xf>
    <xf numFmtId="4" fontId="3" fillId="0" borderId="0" xfId="51" applyNumberFormat="1" applyFont="1">
      <alignment/>
      <protection/>
    </xf>
    <xf numFmtId="0" fontId="12" fillId="0" borderId="0" xfId="51" applyFont="1" applyFill="1" applyBorder="1" applyAlignment="1">
      <alignment horizontal="left"/>
      <protection/>
    </xf>
    <xf numFmtId="0" fontId="12" fillId="37" borderId="21" xfId="51" applyFont="1" applyFill="1" applyBorder="1" applyAlignment="1">
      <alignment horizontal="left"/>
      <protection/>
    </xf>
    <xf numFmtId="0" fontId="3" fillId="37" borderId="21" xfId="51" applyFont="1" applyFill="1" applyBorder="1">
      <alignment/>
      <protection/>
    </xf>
    <xf numFmtId="0" fontId="12" fillId="37" borderId="20" xfId="56" applyFont="1" applyFill="1" applyBorder="1" applyAlignment="1">
      <alignment horizontal="left"/>
      <protection/>
    </xf>
    <xf numFmtId="0" fontId="3" fillId="37" borderId="20" xfId="56" applyFont="1" applyFill="1" applyBorder="1">
      <alignment/>
      <protection/>
    </xf>
    <xf numFmtId="0" fontId="12" fillId="0" borderId="0" xfId="51" applyFont="1" applyFill="1" applyProtection="1">
      <alignment/>
      <protection locked="0"/>
    </xf>
    <xf numFmtId="0" fontId="12" fillId="34" borderId="21" xfId="51" applyFont="1" applyFill="1" applyBorder="1" applyAlignment="1">
      <alignment horizontal="left"/>
      <protection/>
    </xf>
    <xf numFmtId="0" fontId="12" fillId="34" borderId="20" xfId="56" applyFont="1" applyFill="1" applyBorder="1">
      <alignment/>
      <protection/>
    </xf>
    <xf numFmtId="0" fontId="12" fillId="34" borderId="20" xfId="56" applyFont="1" applyFill="1" applyBorder="1" applyAlignment="1">
      <alignment horizontal="left"/>
      <protection/>
    </xf>
    <xf numFmtId="0" fontId="12" fillId="34" borderId="21" xfId="56" applyFont="1" applyFill="1" applyBorder="1" applyAlignment="1">
      <alignment horizontal="left"/>
      <protection/>
    </xf>
    <xf numFmtId="0" fontId="12" fillId="34" borderId="21" xfId="56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3" fillId="34" borderId="0" xfId="56" applyFont="1" applyFill="1" applyBorder="1" applyAlignment="1">
      <alignment/>
      <protection/>
    </xf>
    <xf numFmtId="0" fontId="3" fillId="34" borderId="0" xfId="51" applyFont="1" applyFill="1" applyBorder="1" applyAlignment="1">
      <alignment horizontal="left"/>
      <protection/>
    </xf>
    <xf numFmtId="0" fontId="3" fillId="34" borderId="21" xfId="56" applyFont="1" applyFill="1" applyBorder="1">
      <alignment/>
      <protection/>
    </xf>
    <xf numFmtId="0" fontId="3" fillId="34" borderId="0" xfId="56" applyFont="1" applyFill="1" applyBorder="1" applyAlignment="1">
      <alignment horizontal="left"/>
      <protection/>
    </xf>
    <xf numFmtId="0" fontId="3" fillId="34" borderId="21" xfId="56" applyFont="1" applyFill="1" applyBorder="1" applyAlignment="1">
      <alignment horizontal="left"/>
      <protection/>
    </xf>
    <xf numFmtId="0" fontId="3" fillId="0" borderId="0" xfId="51" applyFont="1" applyProtection="1">
      <alignment/>
      <protection locked="0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56" applyFont="1" applyFill="1" applyBorder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51" applyFont="1" applyAlignment="1">
      <alignment horizont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4" fontId="10" fillId="0" borderId="27" xfId="56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1" fillId="0" borderId="28" xfId="0" applyFont="1" applyBorder="1" applyAlignment="1">
      <alignment horizontal="left"/>
    </xf>
    <xf numFmtId="0" fontId="15" fillId="0" borderId="0" xfId="51" applyFont="1">
      <alignment/>
      <protection/>
    </xf>
    <xf numFmtId="0" fontId="20" fillId="0" borderId="0" xfId="56" applyFont="1" applyFill="1" applyBorder="1" applyAlignment="1" applyProtection="1">
      <alignment horizontal="left"/>
      <protection locked="0"/>
    </xf>
    <xf numFmtId="0" fontId="15" fillId="0" borderId="29" xfId="56" applyFont="1" applyFill="1" applyBorder="1" applyAlignment="1" applyProtection="1">
      <alignment horizontal="left"/>
      <protection locked="0"/>
    </xf>
    <xf numFmtId="0" fontId="15" fillId="0" borderId="24" xfId="56" applyFont="1" applyFill="1" applyBorder="1" applyAlignment="1" applyProtection="1">
      <alignment horizontal="left"/>
      <protection locked="0"/>
    </xf>
    <xf numFmtId="0" fontId="15" fillId="0" borderId="23" xfId="51" applyFont="1" applyBorder="1" applyAlignment="1">
      <alignment horizontal="left"/>
      <protection/>
    </xf>
    <xf numFmtId="0" fontId="15" fillId="0" borderId="29" xfId="56" applyFont="1" applyFill="1" applyBorder="1" applyAlignment="1">
      <alignment horizontal="left"/>
      <protection/>
    </xf>
    <xf numFmtId="0" fontId="15" fillId="0" borderId="25" xfId="56" applyFont="1" applyFill="1" applyBorder="1" applyAlignment="1">
      <alignment horizontal="left"/>
      <protection/>
    </xf>
    <xf numFmtId="0" fontId="15" fillId="0" borderId="24" xfId="56" applyFont="1" applyFill="1" applyBorder="1" applyAlignment="1">
      <alignment horizontal="left"/>
      <protection/>
    </xf>
    <xf numFmtId="0" fontId="15" fillId="0" borderId="24" xfId="51" applyFont="1" applyBorder="1" applyAlignment="1">
      <alignment horizontal="left"/>
      <protection/>
    </xf>
    <xf numFmtId="0" fontId="15" fillId="0" borderId="25" xfId="51" applyFont="1" applyBorder="1" applyAlignment="1">
      <alignment horizontal="left"/>
      <protection/>
    </xf>
    <xf numFmtId="0" fontId="15" fillId="0" borderId="23" xfId="56" applyFont="1" applyFill="1" applyBorder="1" applyAlignment="1">
      <alignment horizontal="left"/>
      <protection/>
    </xf>
    <xf numFmtId="0" fontId="8" fillId="0" borderId="24" xfId="56" applyFont="1" applyFill="1" applyBorder="1" applyAlignment="1">
      <alignment horizontal="left"/>
      <protection/>
    </xf>
    <xf numFmtId="0" fontId="15" fillId="0" borderId="25" xfId="51" applyFont="1" applyFill="1" applyBorder="1" applyAlignment="1">
      <alignment horizontal="left"/>
      <protection/>
    </xf>
    <xf numFmtId="49" fontId="15" fillId="0" borderId="29" xfId="56" applyNumberFormat="1" applyFont="1" applyFill="1" applyBorder="1" applyAlignment="1">
      <alignment horizontal="left"/>
      <protection/>
    </xf>
    <xf numFmtId="49" fontId="15" fillId="0" borderId="24" xfId="56" applyNumberFormat="1" applyFont="1" applyFill="1" applyBorder="1" applyAlignment="1">
      <alignment horizontal="left"/>
      <protection/>
    </xf>
    <xf numFmtId="4" fontId="19" fillId="0" borderId="30" xfId="56" applyNumberFormat="1" applyFont="1" applyFill="1" applyBorder="1" applyAlignment="1" applyProtection="1">
      <alignment/>
      <protection/>
    </xf>
    <xf numFmtId="4" fontId="19" fillId="0" borderId="31" xfId="56" applyNumberFormat="1" applyFont="1" applyFill="1" applyBorder="1" applyAlignment="1" applyProtection="1">
      <alignment/>
      <protection/>
    </xf>
    <xf numFmtId="4" fontId="19" fillId="0" borderId="19" xfId="56" applyNumberFormat="1" applyFont="1" applyFill="1" applyBorder="1" applyAlignment="1" applyProtection="1">
      <alignment/>
      <protection/>
    </xf>
    <xf numFmtId="4" fontId="6" fillId="0" borderId="26" xfId="56" applyNumberFormat="1" applyFont="1" applyFill="1" applyBorder="1" applyAlignment="1" applyProtection="1">
      <alignment/>
      <protection locked="0"/>
    </xf>
    <xf numFmtId="4" fontId="19" fillId="0" borderId="27" xfId="56" applyNumberFormat="1" applyFont="1" applyFill="1" applyBorder="1" applyAlignment="1" applyProtection="1">
      <alignment/>
      <protection/>
    </xf>
    <xf numFmtId="4" fontId="6" fillId="0" borderId="32" xfId="56" applyNumberFormat="1" applyFont="1" applyFill="1" applyBorder="1" applyAlignment="1" applyProtection="1">
      <alignment/>
      <protection/>
    </xf>
    <xf numFmtId="4" fontId="6" fillId="0" borderId="33" xfId="56" applyNumberFormat="1" applyFont="1" applyFill="1" applyBorder="1" applyAlignment="1" applyProtection="1">
      <alignment/>
      <protection locked="0"/>
    </xf>
    <xf numFmtId="4" fontId="6" fillId="0" borderId="34" xfId="56" applyNumberFormat="1" applyFont="1" applyFill="1" applyBorder="1" applyAlignment="1" applyProtection="1">
      <alignment/>
      <protection/>
    </xf>
    <xf numFmtId="4" fontId="6" fillId="0" borderId="35" xfId="56" applyNumberFormat="1" applyFont="1" applyFill="1" applyBorder="1" applyAlignment="1" applyProtection="1">
      <alignment/>
      <protection/>
    </xf>
    <xf numFmtId="4" fontId="19" fillId="0" borderId="36" xfId="56" applyNumberFormat="1" applyFont="1" applyFill="1" applyBorder="1" applyAlignment="1" applyProtection="1">
      <alignment/>
      <protection/>
    </xf>
    <xf numFmtId="4" fontId="6" fillId="0" borderId="30" xfId="56" applyNumberFormat="1" applyFont="1" applyFill="1" applyBorder="1" applyAlignment="1" applyProtection="1">
      <alignment/>
      <protection locked="0"/>
    </xf>
    <xf numFmtId="4" fontId="6" fillId="0" borderId="26" xfId="56" applyNumberFormat="1" applyFont="1" applyFill="1" applyBorder="1" applyAlignment="1" applyProtection="1">
      <alignment/>
      <protection/>
    </xf>
    <xf numFmtId="4" fontId="6" fillId="0" borderId="30" xfId="56" applyNumberFormat="1" applyFont="1" applyFill="1" applyBorder="1" applyAlignment="1" applyProtection="1">
      <alignment/>
      <protection/>
    </xf>
    <xf numFmtId="4" fontId="2" fillId="0" borderId="35" xfId="51" applyNumberFormat="1" applyFont="1" applyFill="1" applyBorder="1">
      <alignment/>
      <protection/>
    </xf>
    <xf numFmtId="4" fontId="2" fillId="0" borderId="37" xfId="51" applyNumberFormat="1" applyFont="1" applyBorder="1">
      <alignment/>
      <protection/>
    </xf>
    <xf numFmtId="49" fontId="15" fillId="0" borderId="25" xfId="56" applyNumberFormat="1" applyFont="1" applyFill="1" applyBorder="1" applyAlignment="1">
      <alignment horizontal="left"/>
      <protection/>
    </xf>
    <xf numFmtId="4" fontId="2" fillId="0" borderId="26" xfId="51" applyNumberFormat="1" applyFont="1" applyBorder="1">
      <alignment/>
      <protection/>
    </xf>
    <xf numFmtId="4" fontId="6" fillId="0" borderId="36" xfId="56" applyNumberFormat="1" applyFont="1" applyFill="1" applyBorder="1" applyAlignment="1" applyProtection="1">
      <alignment/>
      <protection locked="0"/>
    </xf>
    <xf numFmtId="4" fontId="2" fillId="0" borderId="31" xfId="51" applyNumberFormat="1" applyFont="1" applyFill="1" applyBorder="1">
      <alignment/>
      <protection/>
    </xf>
    <xf numFmtId="4" fontId="2" fillId="0" borderId="27" xfId="51" applyNumberFormat="1" applyFont="1" applyFill="1" applyBorder="1">
      <alignment/>
      <protection/>
    </xf>
    <xf numFmtId="4" fontId="2" fillId="0" borderId="31" xfId="51" applyNumberFormat="1" applyFont="1" applyBorder="1">
      <alignment/>
      <protection/>
    </xf>
    <xf numFmtId="4" fontId="2" fillId="0" borderId="27" xfId="51" applyNumberFormat="1" applyFont="1" applyBorder="1">
      <alignment/>
      <protection/>
    </xf>
    <xf numFmtId="4" fontId="2" fillId="0" borderId="36" xfId="51" applyNumberFormat="1" applyFont="1" applyBorder="1">
      <alignment/>
      <protection/>
    </xf>
    <xf numFmtId="4" fontId="2" fillId="0" borderId="36" xfId="51" applyNumberFormat="1" applyFont="1" applyFill="1" applyBorder="1">
      <alignment/>
      <protection/>
    </xf>
    <xf numFmtId="4" fontId="6" fillId="0" borderId="37" xfId="51" applyNumberFormat="1" applyFont="1" applyBorder="1" applyAlignment="1" applyProtection="1">
      <alignment/>
      <protection/>
    </xf>
    <xf numFmtId="4" fontId="6" fillId="0" borderId="33" xfId="51" applyNumberFormat="1" applyFont="1" applyBorder="1" applyAlignment="1" applyProtection="1">
      <alignment/>
      <protection locked="0"/>
    </xf>
    <xf numFmtId="4" fontId="6" fillId="0" borderId="33" xfId="51" applyNumberFormat="1" applyFont="1" applyBorder="1" applyAlignment="1" applyProtection="1">
      <alignment/>
      <protection/>
    </xf>
    <xf numFmtId="4" fontId="6" fillId="0" borderId="35" xfId="51" applyNumberFormat="1" applyFont="1" applyBorder="1" applyProtection="1">
      <alignment/>
      <protection locked="0"/>
    </xf>
    <xf numFmtId="4" fontId="19" fillId="0" borderId="37" xfId="56" applyNumberFormat="1" applyFont="1" applyFill="1" applyBorder="1" applyAlignment="1" applyProtection="1" quotePrefix="1">
      <alignment/>
      <protection locked="0"/>
    </xf>
    <xf numFmtId="4" fontId="2" fillId="0" borderId="33" xfId="51" applyNumberFormat="1" applyFont="1" applyBorder="1" applyAlignment="1" applyProtection="1">
      <alignment/>
      <protection/>
    </xf>
    <xf numFmtId="4" fontId="6" fillId="0" borderId="33" xfId="51" applyNumberFormat="1" applyFont="1" applyBorder="1" applyProtection="1">
      <alignment/>
      <protection locked="0"/>
    </xf>
    <xf numFmtId="4" fontId="6" fillId="35" borderId="31" xfId="51" applyNumberFormat="1" applyFont="1" applyFill="1" applyBorder="1" applyAlignment="1" applyProtection="1">
      <alignment/>
      <protection locked="0"/>
    </xf>
    <xf numFmtId="14" fontId="2" fillId="0" borderId="0" xfId="51" applyNumberFormat="1" applyFont="1">
      <alignment/>
      <protection/>
    </xf>
    <xf numFmtId="10" fontId="23" fillId="0" borderId="0" xfId="0" applyNumberFormat="1" applyFont="1" applyFill="1" applyBorder="1" applyAlignment="1">
      <alignment wrapText="1"/>
    </xf>
    <xf numFmtId="4" fontId="19" fillId="0" borderId="38" xfId="56" applyNumberFormat="1" applyFont="1" applyFill="1" applyBorder="1" applyAlignment="1" applyProtection="1">
      <alignment/>
      <protection/>
    </xf>
    <xf numFmtId="4" fontId="6" fillId="0" borderId="39" xfId="56" applyNumberFormat="1" applyFont="1" applyFill="1" applyBorder="1" applyProtection="1">
      <alignment/>
      <protection locked="0"/>
    </xf>
    <xf numFmtId="4" fontId="19" fillId="0" borderId="40" xfId="56" applyNumberFormat="1" applyFont="1" applyFill="1" applyBorder="1" applyAlignment="1" applyProtection="1">
      <alignment/>
      <protection/>
    </xf>
    <xf numFmtId="4" fontId="6" fillId="0" borderId="38" xfId="56" applyNumberFormat="1" applyFont="1" applyFill="1" applyBorder="1" applyProtection="1">
      <alignment/>
      <protection locked="0"/>
    </xf>
    <xf numFmtId="3" fontId="19" fillId="0" borderId="27" xfId="56" applyNumberFormat="1" applyFont="1" applyFill="1" applyBorder="1" applyAlignment="1" applyProtection="1">
      <alignment/>
      <protection/>
    </xf>
    <xf numFmtId="4" fontId="6" fillId="0" borderId="38" xfId="51" applyNumberFormat="1" applyFont="1" applyFill="1" applyBorder="1" applyProtection="1">
      <alignment/>
      <protection locked="0"/>
    </xf>
    <xf numFmtId="4" fontId="6" fillId="0" borderId="40" xfId="51" applyNumberFormat="1" applyFont="1" applyBorder="1" applyProtection="1">
      <alignment/>
      <protection locked="0"/>
    </xf>
    <xf numFmtId="4" fontId="6" fillId="0" borderId="27" xfId="51" applyNumberFormat="1" applyFont="1" applyBorder="1" applyProtection="1">
      <alignment/>
      <protection locked="0"/>
    </xf>
    <xf numFmtId="4" fontId="6" fillId="0" borderId="40" xfId="51" applyNumberFormat="1" applyFont="1" applyFill="1" applyBorder="1" applyProtection="1">
      <alignment/>
      <protection locked="0"/>
    </xf>
    <xf numFmtId="4" fontId="6" fillId="0" borderId="27" xfId="51" applyNumberFormat="1" applyFont="1" applyBorder="1" applyAlignment="1" applyProtection="1">
      <alignment/>
      <protection/>
    </xf>
    <xf numFmtId="4" fontId="6" fillId="0" borderId="39" xfId="51" applyNumberFormat="1" applyFont="1" applyBorder="1" applyProtection="1">
      <alignment/>
      <protection locked="0"/>
    </xf>
    <xf numFmtId="4" fontId="6" fillId="35" borderId="39" xfId="51" applyNumberFormat="1" applyFont="1" applyFill="1" applyBorder="1" applyProtection="1">
      <alignment/>
      <protection locked="0"/>
    </xf>
    <xf numFmtId="4" fontId="6" fillId="0" borderId="39" xfId="51" applyNumberFormat="1" applyFont="1" applyBorder="1" applyAlignment="1" applyProtection="1">
      <alignment/>
      <protection/>
    </xf>
    <xf numFmtId="4" fontId="19" fillId="0" borderId="27" xfId="56" applyNumberFormat="1" applyFont="1" applyFill="1" applyBorder="1" applyProtection="1">
      <alignment/>
      <protection locked="0"/>
    </xf>
    <xf numFmtId="4" fontId="6" fillId="0" borderId="27" xfId="51" applyNumberFormat="1" applyFont="1" applyBorder="1" applyProtection="1">
      <alignment/>
      <protection/>
    </xf>
    <xf numFmtId="4" fontId="2" fillId="0" borderId="39" xfId="51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4" fontId="15" fillId="0" borderId="0" xfId="51" applyNumberFormat="1" applyFont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>
      <alignment/>
    </xf>
    <xf numFmtId="4" fontId="15" fillId="0" borderId="0" xfId="55" applyNumberFormat="1" applyFont="1" applyFill="1" applyBorder="1">
      <alignment/>
      <protection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6" fillId="0" borderId="22" xfId="56" applyNumberFormat="1" applyFont="1" applyFill="1" applyBorder="1" applyProtection="1">
      <alignment/>
      <protection locked="0"/>
    </xf>
    <xf numFmtId="4" fontId="6" fillId="0" borderId="0" xfId="56" applyNumberFormat="1" applyFont="1" applyFill="1" applyBorder="1" applyProtection="1">
      <alignment/>
      <protection locked="0"/>
    </xf>
    <xf numFmtId="4" fontId="6" fillId="0" borderId="21" xfId="56" applyNumberFormat="1" applyFont="1" applyFill="1" applyBorder="1" applyAlignment="1" applyProtection="1">
      <alignment/>
      <protection/>
    </xf>
    <xf numFmtId="0" fontId="12" fillId="34" borderId="41" xfId="56" applyFont="1" applyFill="1" applyBorder="1">
      <alignment/>
      <protection/>
    </xf>
    <xf numFmtId="0" fontId="7" fillId="39" borderId="42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3" fontId="1" fillId="39" borderId="14" xfId="0" applyNumberFormat="1" applyFont="1" applyFill="1" applyBorder="1" applyAlignment="1">
      <alignment wrapText="1"/>
    </xf>
    <xf numFmtId="3" fontId="1" fillId="39" borderId="15" xfId="0" applyNumberFormat="1" applyFont="1" applyFill="1" applyBorder="1" applyAlignment="1">
      <alignment wrapText="1"/>
    </xf>
    <xf numFmtId="0" fontId="0" fillId="40" borderId="0" xfId="0" applyFont="1" applyFill="1" applyAlignment="1">
      <alignment/>
    </xf>
    <xf numFmtId="4" fontId="6" fillId="41" borderId="30" xfId="56" applyNumberFormat="1" applyFont="1" applyFill="1" applyBorder="1" applyAlignment="1" applyProtection="1">
      <alignment/>
      <protection/>
    </xf>
    <xf numFmtId="4" fontId="6" fillId="41" borderId="36" xfId="56" applyNumberFormat="1" applyFont="1" applyFill="1" applyBorder="1" applyAlignment="1" applyProtection="1">
      <alignment/>
      <protection/>
    </xf>
    <xf numFmtId="0" fontId="12" fillId="0" borderId="0" xfId="51" applyFont="1" applyFill="1">
      <alignment/>
      <protection/>
    </xf>
    <xf numFmtId="0" fontId="0" fillId="42" borderId="0" xfId="0" applyFont="1" applyFill="1" applyAlignment="1">
      <alignment/>
    </xf>
    <xf numFmtId="0" fontId="1" fillId="33" borderId="37" xfId="0" applyNumberFormat="1" applyFont="1" applyFill="1" applyBorder="1" applyAlignment="1">
      <alignment horizontal="center" wrapText="1"/>
    </xf>
    <xf numFmtId="0" fontId="0" fillId="43" borderId="0" xfId="0" applyFont="1" applyFill="1" applyAlignment="1">
      <alignment/>
    </xf>
    <xf numFmtId="3" fontId="1" fillId="40" borderId="27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0" xfId="51" applyFont="1" applyFill="1" applyBorder="1">
      <alignment/>
      <protection/>
    </xf>
    <xf numFmtId="0" fontId="13" fillId="0" borderId="21" xfId="51" applyFont="1" applyFill="1" applyBorder="1">
      <alignment/>
      <protection/>
    </xf>
    <xf numFmtId="0" fontId="14" fillId="0" borderId="0" xfId="51" applyFont="1" applyFill="1" applyBorder="1">
      <alignment/>
      <protection/>
    </xf>
    <xf numFmtId="0" fontId="10" fillId="0" borderId="0" xfId="51" applyFont="1" applyFill="1" applyBorder="1">
      <alignment/>
      <protection/>
    </xf>
    <xf numFmtId="0" fontId="12" fillId="44" borderId="0" xfId="51" applyFont="1" applyFill="1" applyAlignment="1">
      <alignment wrapText="1"/>
      <protection/>
    </xf>
    <xf numFmtId="0" fontId="0" fillId="0" borderId="0" xfId="0" applyFont="1" applyFill="1" applyAlignment="1">
      <alignment/>
    </xf>
    <xf numFmtId="49" fontId="28" fillId="45" borderId="43" xfId="0" applyNumberFormat="1" applyFont="1" applyFill="1" applyBorder="1" applyAlignment="1">
      <alignment horizontal="left" wrapText="1"/>
    </xf>
    <xf numFmtId="49" fontId="28" fillId="45" borderId="43" xfId="0" applyNumberFormat="1" applyFont="1" applyFill="1" applyBorder="1" applyAlignment="1">
      <alignment horizontal="left"/>
    </xf>
    <xf numFmtId="9" fontId="0" fillId="0" borderId="0" xfId="62" applyFont="1" applyAlignment="1">
      <alignment/>
    </xf>
    <xf numFmtId="0" fontId="0" fillId="42" borderId="0" xfId="0" applyFont="1" applyFill="1" applyAlignment="1">
      <alignment wrapText="1"/>
    </xf>
    <xf numFmtId="0" fontId="0" fillId="38" borderId="14" xfId="0" applyFont="1" applyFill="1" applyBorder="1" applyAlignment="1">
      <alignment wrapText="1"/>
    </xf>
    <xf numFmtId="0" fontId="0" fillId="38" borderId="14" xfId="0" applyFill="1" applyBorder="1" applyAlignment="1">
      <alignment/>
    </xf>
    <xf numFmtId="0" fontId="0" fillId="40" borderId="14" xfId="0" applyFill="1" applyBorder="1" applyAlignment="1">
      <alignment/>
    </xf>
    <xf numFmtId="4" fontId="6" fillId="46" borderId="39" xfId="51" applyNumberFormat="1" applyFont="1" applyFill="1" applyBorder="1" applyProtection="1">
      <alignment/>
      <protection locked="0"/>
    </xf>
    <xf numFmtId="0" fontId="12" fillId="0" borderId="22" xfId="56" applyFont="1" applyBorder="1">
      <alignment/>
      <protection/>
    </xf>
    <xf numFmtId="4" fontId="11" fillId="0" borderId="30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>
      <alignment horizontal="left"/>
      <protection/>
    </xf>
    <xf numFmtId="4" fontId="11" fillId="0" borderId="44" xfId="56" applyNumberFormat="1" applyFont="1" applyFill="1" applyBorder="1" applyAlignment="1" applyProtection="1">
      <alignment wrapText="1"/>
      <protection locked="0"/>
    </xf>
    <xf numFmtId="4" fontId="6" fillId="0" borderId="0" xfId="5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40" borderId="0" xfId="0" applyFont="1" applyFill="1" applyAlignment="1">
      <alignment/>
    </xf>
    <xf numFmtId="0" fontId="29" fillId="0" borderId="45" xfId="51" applyFont="1" applyFill="1" applyBorder="1" applyAlignment="1">
      <alignment wrapText="1"/>
      <protection/>
    </xf>
    <xf numFmtId="0" fontId="29" fillId="0" borderId="46" xfId="51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4" fontId="22" fillId="0" borderId="14" xfId="51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3" fillId="42" borderId="0" xfId="51" applyFont="1" applyFill="1">
      <alignment/>
      <protection/>
    </xf>
    <xf numFmtId="0" fontId="3" fillId="46" borderId="0" xfId="56" applyFont="1" applyFill="1" applyBorder="1">
      <alignment/>
      <protection/>
    </xf>
    <xf numFmtId="0" fontId="3" fillId="46" borderId="0" xfId="51" applyFont="1" applyFill="1" applyBorder="1" applyAlignment="1">
      <alignment horizontal="left"/>
      <protection/>
    </xf>
    <xf numFmtId="0" fontId="84" fillId="0" borderId="0" xfId="0" applyFont="1" applyFill="1" applyAlignment="1" applyProtection="1">
      <alignment/>
      <protection/>
    </xf>
    <xf numFmtId="4" fontId="84" fillId="0" borderId="0" xfId="0" applyNumberFormat="1" applyFont="1" applyFill="1" applyAlignment="1" applyProtection="1">
      <alignment/>
      <protection/>
    </xf>
    <xf numFmtId="0" fontId="85" fillId="0" borderId="0" xfId="0" applyFont="1" applyFill="1" applyAlignment="1">
      <alignment/>
    </xf>
    <xf numFmtId="3" fontId="84" fillId="0" borderId="0" xfId="0" applyNumberFormat="1" applyFont="1" applyFill="1" applyAlignment="1" applyProtection="1">
      <alignment/>
      <protection/>
    </xf>
    <xf numFmtId="0" fontId="86" fillId="0" borderId="0" xfId="0" applyFont="1" applyAlignment="1">
      <alignment/>
    </xf>
    <xf numFmtId="4" fontId="87" fillId="0" borderId="0" xfId="0" applyNumberFormat="1" applyFont="1" applyAlignment="1" applyProtection="1">
      <alignment/>
      <protection/>
    </xf>
    <xf numFmtId="0" fontId="88" fillId="0" borderId="0" xfId="51" applyFont="1">
      <alignment/>
      <protection/>
    </xf>
    <xf numFmtId="0" fontId="24" fillId="0" borderId="0" xfId="56" applyFont="1" applyFill="1" applyBorder="1" applyAlignment="1">
      <alignment/>
      <protection/>
    </xf>
    <xf numFmtId="0" fontId="12" fillId="40" borderId="0" xfId="56" applyFont="1" applyFill="1" applyBorder="1">
      <alignment/>
      <protection/>
    </xf>
    <xf numFmtId="0" fontId="20" fillId="0" borderId="23" xfId="51" applyFont="1" applyFill="1" applyBorder="1" applyAlignment="1">
      <alignment horizontal="left"/>
      <protection/>
    </xf>
    <xf numFmtId="0" fontId="1" fillId="33" borderId="19" xfId="0" applyNumberFormat="1" applyFont="1" applyFill="1" applyBorder="1" applyAlignment="1">
      <alignment horizontal="center" wrapText="1"/>
    </xf>
    <xf numFmtId="4" fontId="6" fillId="0" borderId="27" xfId="51" applyNumberFormat="1" applyFont="1" applyFill="1" applyBorder="1">
      <alignment/>
      <protection/>
    </xf>
    <xf numFmtId="4" fontId="22" fillId="44" borderId="30" xfId="56" applyNumberFormat="1" applyFont="1" applyFill="1" applyBorder="1" applyAlignment="1" applyProtection="1">
      <alignment horizontal="left" wrapText="1"/>
      <protection locked="0"/>
    </xf>
    <xf numFmtId="4" fontId="22" fillId="40" borderId="27" xfId="56" applyNumberFormat="1" applyFont="1" applyFill="1" applyBorder="1" applyAlignment="1" applyProtection="1">
      <alignment horizontal="center" wrapText="1"/>
      <protection locked="0"/>
    </xf>
    <xf numFmtId="0" fontId="0" fillId="42" borderId="0" xfId="0" applyFill="1" applyAlignment="1">
      <alignment/>
    </xf>
    <xf numFmtId="4" fontId="28" fillId="0" borderId="4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9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wrapText="1"/>
    </xf>
    <xf numFmtId="0" fontId="64" fillId="0" borderId="0" xfId="0" applyFont="1" applyFill="1" applyAlignment="1">
      <alignment/>
    </xf>
    <xf numFmtId="0" fontId="9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12" fillId="33" borderId="37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47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wrapText="1"/>
    </xf>
    <xf numFmtId="3" fontId="3" fillId="47" borderId="15" xfId="0" applyNumberFormat="1" applyFont="1" applyFill="1" applyBorder="1" applyAlignment="1">
      <alignment/>
    </xf>
    <xf numFmtId="0" fontId="3" fillId="42" borderId="0" xfId="0" applyFont="1" applyFill="1" applyAlignment="1">
      <alignment/>
    </xf>
    <xf numFmtId="0" fontId="3" fillId="0" borderId="25" xfId="0" applyFont="1" applyFill="1" applyBorder="1" applyAlignment="1">
      <alignment wrapText="1"/>
    </xf>
    <xf numFmtId="10" fontId="3" fillId="0" borderId="18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3" fillId="0" borderId="13" xfId="0" applyFont="1" applyFill="1" applyBorder="1" applyAlignment="1">
      <alignment wrapText="1"/>
    </xf>
    <xf numFmtId="3" fontId="33" fillId="34" borderId="16" xfId="0" applyNumberFormat="1" applyFont="1" applyFill="1" applyBorder="1" applyAlignment="1">
      <alignment wrapText="1"/>
    </xf>
    <xf numFmtId="3" fontId="33" fillId="34" borderId="17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91" fillId="0" borderId="0" xfId="0" applyFont="1" applyFill="1" applyBorder="1" applyAlignment="1">
      <alignment wrapText="1"/>
    </xf>
    <xf numFmtId="3" fontId="91" fillId="0" borderId="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91" fillId="0" borderId="0" xfId="0" applyFont="1" applyAlignment="1">
      <alignment/>
    </xf>
    <xf numFmtId="0" fontId="3" fillId="0" borderId="14" xfId="0" applyFont="1" applyFill="1" applyBorder="1" applyAlignment="1">
      <alignment wrapText="1"/>
    </xf>
    <xf numFmtId="3" fontId="15" fillId="0" borderId="14" xfId="0" applyNumberFormat="1" applyFont="1" applyFill="1" applyBorder="1" applyAlignment="1">
      <alignment horizontal="center" wrapText="1"/>
    </xf>
    <xf numFmtId="9" fontId="15" fillId="0" borderId="14" xfId="0" applyNumberFormat="1" applyFont="1" applyFill="1" applyBorder="1" applyAlignment="1">
      <alignment wrapText="1"/>
    </xf>
    <xf numFmtId="4" fontId="15" fillId="0" borderId="14" xfId="0" applyNumberFormat="1" applyFont="1" applyFill="1" applyBorder="1" applyAlignment="1">
      <alignment wrapText="1"/>
    </xf>
    <xf numFmtId="0" fontId="12" fillId="33" borderId="47" xfId="0" applyNumberFormat="1" applyFont="1" applyFill="1" applyBorder="1" applyAlignment="1">
      <alignment horizontal="left" wrapText="1"/>
    </xf>
    <xf numFmtId="0" fontId="12" fillId="0" borderId="11" xfId="56" applyFont="1" applyFill="1" applyBorder="1">
      <alignment/>
      <protection/>
    </xf>
    <xf numFmtId="3" fontId="12" fillId="35" borderId="14" xfId="0" applyNumberFormat="1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0" xfId="0" applyFont="1" applyFill="1" applyAlignment="1">
      <alignment/>
    </xf>
    <xf numFmtId="0" fontId="31" fillId="0" borderId="11" xfId="0" applyFont="1" applyFill="1" applyBorder="1" applyAlignment="1">
      <alignment wrapText="1"/>
    </xf>
    <xf numFmtId="3" fontId="3" fillId="0" borderId="14" xfId="0" applyNumberFormat="1" applyFont="1" applyBorder="1" applyAlignment="1">
      <alignment/>
    </xf>
    <xf numFmtId="3" fontId="12" fillId="35" borderId="15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2" fillId="48" borderId="11" xfId="0" applyFont="1" applyFill="1" applyBorder="1" applyAlignment="1">
      <alignment wrapText="1"/>
    </xf>
    <xf numFmtId="3" fontId="12" fillId="48" borderId="14" xfId="0" applyNumberFormat="1" applyFont="1" applyFill="1" applyBorder="1" applyAlignment="1">
      <alignment/>
    </xf>
    <xf numFmtId="3" fontId="12" fillId="48" borderId="15" xfId="0" applyNumberFormat="1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3" fontId="3" fillId="35" borderId="16" xfId="0" applyNumberFormat="1" applyFont="1" applyFill="1" applyBorder="1" applyAlignment="1">
      <alignment/>
    </xf>
    <xf numFmtId="3" fontId="3" fillId="47" borderId="16" xfId="0" applyNumberFormat="1" applyFont="1" applyFill="1" applyBorder="1" applyAlignment="1">
      <alignment/>
    </xf>
    <xf numFmtId="3" fontId="3" fillId="47" borderId="17" xfId="0" applyNumberFormat="1" applyFont="1" applyFill="1" applyBorder="1" applyAlignment="1">
      <alignment/>
    </xf>
    <xf numFmtId="0" fontId="34" fillId="0" borderId="48" xfId="0" applyFont="1" applyFill="1" applyBorder="1" applyAlignment="1">
      <alignment/>
    </xf>
    <xf numFmtId="3" fontId="92" fillId="0" borderId="0" xfId="0" applyNumberFormat="1" applyFont="1" applyAlignment="1">
      <alignment/>
    </xf>
    <xf numFmtId="0" fontId="3" fillId="47" borderId="14" xfId="0" applyFont="1" applyFill="1" applyBorder="1" applyAlignment="1">
      <alignment/>
    </xf>
    <xf numFmtId="0" fontId="3" fillId="49" borderId="14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2" fillId="0" borderId="11" xfId="57" applyFont="1" applyBorder="1">
      <alignment/>
      <protection/>
    </xf>
    <xf numFmtId="3" fontId="12" fillId="35" borderId="14" xfId="0" applyNumberFormat="1" applyFont="1" applyFill="1" applyBorder="1" applyAlignment="1">
      <alignment/>
    </xf>
    <xf numFmtId="0" fontId="31" fillId="0" borderId="11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12" fillId="0" borderId="11" xfId="57" applyFont="1" applyFill="1" applyBorder="1">
      <alignment/>
      <protection/>
    </xf>
    <xf numFmtId="3" fontId="12" fillId="47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2" fillId="49" borderId="14" xfId="0" applyNumberFormat="1" applyFont="1" applyFill="1" applyBorder="1" applyAlignment="1">
      <alignment/>
    </xf>
    <xf numFmtId="3" fontId="3" fillId="47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3" fillId="47" borderId="0" xfId="0" applyFont="1" applyFill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12" fillId="35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2" fillId="50" borderId="28" xfId="0" applyNumberFormat="1" applyFont="1" applyFill="1" applyBorder="1" applyAlignment="1">
      <alignment/>
    </xf>
    <xf numFmtId="3" fontId="12" fillId="49" borderId="14" xfId="0" applyNumberFormat="1" applyFont="1" applyFill="1" applyBorder="1" applyAlignment="1">
      <alignment/>
    </xf>
    <xf numFmtId="3" fontId="3" fillId="49" borderId="14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12" fillId="47" borderId="14" xfId="0" applyFont="1" applyFill="1" applyBorder="1" applyAlignment="1">
      <alignment/>
    </xf>
    <xf numFmtId="0" fontId="31" fillId="0" borderId="13" xfId="0" applyFont="1" applyBorder="1" applyAlignment="1">
      <alignment wrapText="1"/>
    </xf>
    <xf numFmtId="0" fontId="21" fillId="33" borderId="47" xfId="0" applyFont="1" applyFill="1" applyBorder="1" applyAlignment="1">
      <alignment horizontal="center" wrapText="1"/>
    </xf>
    <xf numFmtId="0" fontId="21" fillId="33" borderId="37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wrapText="1"/>
    </xf>
    <xf numFmtId="0" fontId="21" fillId="40" borderId="0" xfId="0" applyNumberFormat="1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21" fillId="0" borderId="49" xfId="0" applyFont="1" applyBorder="1" applyAlignment="1">
      <alignment horizontal="left"/>
    </xf>
    <xf numFmtId="3" fontId="21" fillId="34" borderId="50" xfId="0" applyNumberFormat="1" applyFont="1" applyFill="1" applyBorder="1" applyAlignment="1">
      <alignment horizontal="right" wrapText="1"/>
    </xf>
    <xf numFmtId="3" fontId="21" fillId="34" borderId="51" xfId="0" applyNumberFormat="1" applyFont="1" applyFill="1" applyBorder="1" applyAlignment="1">
      <alignment horizontal="right" wrapText="1"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5" fillId="0" borderId="42" xfId="0" applyFont="1" applyFill="1" applyBorder="1" applyAlignment="1">
      <alignment horizontal="left"/>
    </xf>
    <xf numFmtId="3" fontId="35" fillId="34" borderId="14" xfId="0" applyNumberFormat="1" applyFont="1" applyFill="1" applyBorder="1" applyAlignment="1">
      <alignment wrapText="1"/>
    </xf>
    <xf numFmtId="3" fontId="35" fillId="34" borderId="15" xfId="0" applyNumberFormat="1" applyFont="1" applyFill="1" applyBorder="1" applyAlignment="1">
      <alignment wrapText="1"/>
    </xf>
    <xf numFmtId="3" fontId="35" fillId="35" borderId="18" xfId="0" applyNumberFormat="1" applyFont="1" applyFill="1" applyBorder="1" applyAlignment="1">
      <alignment wrapText="1"/>
    </xf>
    <xf numFmtId="3" fontId="35" fillId="0" borderId="14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10" fontId="35" fillId="0" borderId="0" xfId="0" applyNumberFormat="1" applyFont="1" applyAlignment="1">
      <alignment/>
    </xf>
    <xf numFmtId="3" fontId="35" fillId="34" borderId="18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42" xfId="0" applyFont="1" applyFill="1" applyBorder="1" applyAlignment="1">
      <alignment horizontal="left"/>
    </xf>
    <xf numFmtId="3" fontId="21" fillId="34" borderId="18" xfId="0" applyNumberFormat="1" applyFont="1" applyFill="1" applyBorder="1" applyAlignment="1">
      <alignment wrapText="1"/>
    </xf>
    <xf numFmtId="3" fontId="21" fillId="34" borderId="14" xfId="0" applyNumberFormat="1" applyFont="1" applyFill="1" applyBorder="1" applyAlignment="1">
      <alignment wrapText="1"/>
    </xf>
    <xf numFmtId="3" fontId="21" fillId="34" borderId="15" xfId="0" applyNumberFormat="1" applyFont="1" applyFill="1" applyBorder="1" applyAlignment="1">
      <alignment wrapText="1"/>
    </xf>
    <xf numFmtId="3" fontId="35" fillId="46" borderId="18" xfId="0" applyNumberFormat="1" applyFont="1" applyFill="1" applyBorder="1" applyAlignment="1">
      <alignment wrapText="1"/>
    </xf>
    <xf numFmtId="3" fontId="35" fillId="46" borderId="15" xfId="0" applyNumberFormat="1" applyFont="1" applyFill="1" applyBorder="1" applyAlignment="1">
      <alignment wrapText="1"/>
    </xf>
    <xf numFmtId="0" fontId="36" fillId="39" borderId="42" xfId="0" applyFont="1" applyFill="1" applyBorder="1" applyAlignment="1">
      <alignment horizontal="left" wrapText="1"/>
    </xf>
    <xf numFmtId="3" fontId="35" fillId="39" borderId="18" xfId="0" applyNumberFormat="1" applyFont="1" applyFill="1" applyBorder="1" applyAlignment="1">
      <alignment wrapText="1"/>
    </xf>
    <xf numFmtId="3" fontId="35" fillId="39" borderId="14" xfId="0" applyNumberFormat="1" applyFont="1" applyFill="1" applyBorder="1" applyAlignment="1">
      <alignment/>
    </xf>
    <xf numFmtId="3" fontId="35" fillId="39" borderId="15" xfId="0" applyNumberFormat="1" applyFont="1" applyFill="1" applyBorder="1" applyAlignment="1">
      <alignment/>
    </xf>
    <xf numFmtId="0" fontId="21" fillId="39" borderId="0" xfId="0" applyFont="1" applyFill="1" applyAlignment="1">
      <alignment/>
    </xf>
    <xf numFmtId="0" fontId="35" fillId="39" borderId="0" xfId="0" applyFont="1" applyFill="1" applyAlignment="1">
      <alignment/>
    </xf>
    <xf numFmtId="0" fontId="35" fillId="0" borderId="0" xfId="0" applyFont="1" applyAlignment="1">
      <alignment/>
    </xf>
    <xf numFmtId="0" fontId="21" fillId="48" borderId="2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wrapText="1"/>
    </xf>
    <xf numFmtId="3" fontId="35" fillId="0" borderId="0" xfId="0" applyNumberFormat="1" applyFont="1" applyFill="1" applyAlignment="1">
      <alignment/>
    </xf>
    <xf numFmtId="3" fontId="35" fillId="47" borderId="18" xfId="0" applyNumberFormat="1" applyFont="1" applyFill="1" applyBorder="1" applyAlignment="1">
      <alignment wrapText="1"/>
    </xf>
    <xf numFmtId="3" fontId="35" fillId="48" borderId="14" xfId="0" applyNumberFormat="1" applyFont="1" applyFill="1" applyBorder="1" applyAlignment="1">
      <alignment/>
    </xf>
    <xf numFmtId="3" fontId="35" fillId="48" borderId="15" xfId="0" applyNumberFormat="1" applyFont="1" applyFill="1" applyBorder="1" applyAlignment="1">
      <alignment/>
    </xf>
    <xf numFmtId="49" fontId="36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3" fontId="35" fillId="47" borderId="14" xfId="0" applyNumberFormat="1" applyFont="1" applyFill="1" applyBorder="1" applyAlignment="1">
      <alignment/>
    </xf>
    <xf numFmtId="9" fontId="35" fillId="0" borderId="0" xfId="0" applyNumberFormat="1" applyFont="1" applyFill="1" applyAlignment="1">
      <alignment/>
    </xf>
    <xf numFmtId="0" fontId="35" fillId="0" borderId="11" xfId="55" applyFont="1" applyFill="1" applyBorder="1" applyAlignment="1">
      <alignment/>
      <protection/>
    </xf>
    <xf numFmtId="0" fontId="35" fillId="0" borderId="25" xfId="0" applyFont="1" applyFill="1" applyBorder="1" applyAlignment="1">
      <alignment horizontal="left"/>
    </xf>
    <xf numFmtId="3" fontId="35" fillId="35" borderId="52" xfId="0" applyNumberFormat="1" applyFont="1" applyFill="1" applyBorder="1" applyAlignment="1">
      <alignment wrapText="1"/>
    </xf>
    <xf numFmtId="3" fontId="35" fillId="0" borderId="14" xfId="55" applyNumberFormat="1" applyFont="1" applyFill="1" applyBorder="1" applyAlignment="1">
      <alignment/>
      <protection/>
    </xf>
    <xf numFmtId="0" fontId="35" fillId="0" borderId="53" xfId="0" applyFont="1" applyFill="1" applyBorder="1" applyAlignment="1">
      <alignment horizontal="left" wrapText="1"/>
    </xf>
    <xf numFmtId="3" fontId="35" fillId="35" borderId="54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35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3" fontId="35" fillId="37" borderId="18" xfId="0" applyNumberFormat="1" applyFont="1" applyFill="1" applyBorder="1" applyAlignment="1">
      <alignment wrapText="1"/>
    </xf>
    <xf numFmtId="3" fontId="35" fillId="51" borderId="14" xfId="0" applyNumberFormat="1" applyFont="1" applyFill="1" applyBorder="1" applyAlignment="1">
      <alignment/>
    </xf>
    <xf numFmtId="3" fontId="35" fillId="52" borderId="14" xfId="0" applyNumberFormat="1" applyFont="1" applyFill="1" applyBorder="1" applyAlignment="1">
      <alignment/>
    </xf>
    <xf numFmtId="3" fontId="35" fillId="53" borderId="14" xfId="0" applyNumberFormat="1" applyFont="1" applyFill="1" applyBorder="1" applyAlignment="1">
      <alignment/>
    </xf>
    <xf numFmtId="3" fontId="35" fillId="54" borderId="15" xfId="0" applyNumberFormat="1" applyFont="1" applyFill="1" applyBorder="1" applyAlignment="1">
      <alignment/>
    </xf>
    <xf numFmtId="0" fontId="35" fillId="42" borderId="0" xfId="0" applyFont="1" applyFill="1" applyAlignment="1">
      <alignment/>
    </xf>
    <xf numFmtId="0" fontId="35" fillId="0" borderId="11" xfId="0" applyFont="1" applyFill="1" applyBorder="1" applyAlignment="1">
      <alignment wrapText="1"/>
    </xf>
    <xf numFmtId="3" fontId="93" fillId="0" borderId="55" xfId="0" applyNumberFormat="1" applyFont="1" applyFill="1" applyBorder="1" applyAlignment="1">
      <alignment/>
    </xf>
    <xf numFmtId="3" fontId="93" fillId="0" borderId="56" xfId="0" applyNumberFormat="1" applyFont="1" applyFill="1" applyBorder="1" applyAlignment="1">
      <alignment/>
    </xf>
    <xf numFmtId="0" fontId="35" fillId="0" borderId="25" xfId="0" applyFont="1" applyFill="1" applyBorder="1" applyAlignment="1">
      <alignment/>
    </xf>
    <xf numFmtId="3" fontId="35" fillId="35" borderId="18" xfId="0" applyNumberFormat="1" applyFont="1" applyFill="1" applyBorder="1" applyAlignment="1">
      <alignment/>
    </xf>
    <xf numFmtId="0" fontId="35" fillId="4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3" fontId="21" fillId="37" borderId="18" xfId="0" applyNumberFormat="1" applyFont="1" applyFill="1" applyBorder="1" applyAlignment="1">
      <alignment wrapText="1"/>
    </xf>
    <xf numFmtId="3" fontId="21" fillId="55" borderId="14" xfId="0" applyNumberFormat="1" applyFont="1" applyFill="1" applyBorder="1" applyAlignment="1">
      <alignment/>
    </xf>
    <xf numFmtId="3" fontId="21" fillId="56" borderId="14" xfId="0" applyNumberFormat="1" applyFont="1" applyFill="1" applyBorder="1" applyAlignment="1">
      <alignment/>
    </xf>
    <xf numFmtId="3" fontId="21" fillId="53" borderId="14" xfId="0" applyNumberFormat="1" applyFont="1" applyFill="1" applyBorder="1" applyAlignment="1">
      <alignment/>
    </xf>
    <xf numFmtId="3" fontId="21" fillId="57" borderId="14" xfId="0" applyNumberFormat="1" applyFont="1" applyFill="1" applyBorder="1" applyAlignment="1">
      <alignment/>
    </xf>
    <xf numFmtId="3" fontId="21" fillId="34" borderId="15" xfId="0" applyNumberFormat="1" applyFont="1" applyFill="1" applyBorder="1" applyAlignment="1">
      <alignment/>
    </xf>
    <xf numFmtId="3" fontId="35" fillId="47" borderId="57" xfId="0" applyNumberFormat="1" applyFont="1" applyFill="1" applyBorder="1" applyAlignment="1">
      <alignment horizontal="right"/>
    </xf>
    <xf numFmtId="3" fontId="35" fillId="47" borderId="15" xfId="0" applyNumberFormat="1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3" fontId="35" fillId="35" borderId="58" xfId="0" applyNumberFormat="1" applyFont="1" applyFill="1" applyBorder="1" applyAlignment="1">
      <alignment horizontal="right"/>
    </xf>
    <xf numFmtId="3" fontId="35" fillId="0" borderId="59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89" fontId="35" fillId="34" borderId="18" xfId="0" applyNumberFormat="1" applyFont="1" applyFill="1" applyBorder="1" applyAlignment="1">
      <alignment wrapText="1"/>
    </xf>
    <xf numFmtId="189" fontId="35" fillId="34" borderId="14" xfId="0" applyNumberFormat="1" applyFont="1" applyFill="1" applyBorder="1" applyAlignment="1">
      <alignment wrapText="1"/>
    </xf>
    <xf numFmtId="189" fontId="35" fillId="34" borderId="15" xfId="0" applyNumberFormat="1" applyFont="1" applyFill="1" applyBorder="1" applyAlignment="1">
      <alignment wrapText="1"/>
    </xf>
    <xf numFmtId="0" fontId="35" fillId="42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4" fillId="0" borderId="0" xfId="0" applyFont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40" fillId="0" borderId="0" xfId="0" applyFont="1" applyAlignment="1">
      <alignment/>
    </xf>
    <xf numFmtId="0" fontId="34" fillId="58" borderId="11" xfId="56" applyFont="1" applyFill="1" applyBorder="1">
      <alignment/>
      <protection/>
    </xf>
    <xf numFmtId="0" fontId="40" fillId="58" borderId="14" xfId="0" applyFont="1" applyFill="1" applyBorder="1" applyAlignment="1">
      <alignment/>
    </xf>
    <xf numFmtId="3" fontId="34" fillId="58" borderId="14" xfId="0" applyNumberFormat="1" applyFont="1" applyFill="1" applyBorder="1" applyAlignment="1">
      <alignment/>
    </xf>
    <xf numFmtId="3" fontId="34" fillId="58" borderId="15" xfId="0" applyNumberFormat="1" applyFont="1" applyFill="1" applyBorder="1" applyAlignment="1">
      <alignment/>
    </xf>
    <xf numFmtId="0" fontId="34" fillId="58" borderId="11" xfId="57" applyFont="1" applyFill="1" applyBorder="1">
      <alignment/>
      <protection/>
    </xf>
    <xf numFmtId="3" fontId="34" fillId="58" borderId="14" xfId="0" applyNumberFormat="1" applyFont="1" applyFill="1" applyBorder="1" applyAlignment="1">
      <alignment/>
    </xf>
    <xf numFmtId="0" fontId="34" fillId="48" borderId="11" xfId="0" applyFont="1" applyFill="1" applyBorder="1" applyAlignment="1">
      <alignment wrapText="1"/>
    </xf>
    <xf numFmtId="0" fontId="40" fillId="47" borderId="14" xfId="0" applyFont="1" applyFill="1" applyBorder="1" applyAlignment="1">
      <alignment/>
    </xf>
    <xf numFmtId="3" fontId="34" fillId="48" borderId="28" xfId="0" applyNumberFormat="1" applyFont="1" applyFill="1" applyBorder="1" applyAlignment="1">
      <alignment/>
    </xf>
    <xf numFmtId="3" fontId="34" fillId="48" borderId="14" xfId="0" applyNumberFormat="1" applyFont="1" applyFill="1" applyBorder="1" applyAlignment="1">
      <alignment/>
    </xf>
    <xf numFmtId="3" fontId="34" fillId="48" borderId="18" xfId="0" applyNumberFormat="1" applyFont="1" applyFill="1" applyBorder="1" applyAlignment="1">
      <alignment/>
    </xf>
    <xf numFmtId="3" fontId="40" fillId="47" borderId="28" xfId="0" applyNumberFormat="1" applyFont="1" applyFill="1" applyBorder="1" applyAlignment="1">
      <alignment/>
    </xf>
    <xf numFmtId="3" fontId="40" fillId="47" borderId="60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3" fontId="40" fillId="0" borderId="0" xfId="0" applyNumberFormat="1" applyFont="1" applyAlignment="1">
      <alignment/>
    </xf>
    <xf numFmtId="0" fontId="12" fillId="33" borderId="10" xfId="0" applyFont="1" applyFill="1" applyBorder="1" applyAlignment="1">
      <alignment wrapText="1"/>
    </xf>
    <xf numFmtId="0" fontId="12" fillId="0" borderId="11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0" fontId="15" fillId="0" borderId="11" xfId="0" applyFont="1" applyFill="1" applyBorder="1" applyAlignment="1">
      <alignment horizontal="left" vertical="center"/>
    </xf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0" fontId="31" fillId="39" borderId="14" xfId="0" applyFont="1" applyFill="1" applyBorder="1" applyAlignment="1">
      <alignment horizontal="left" vertical="center"/>
    </xf>
    <xf numFmtId="3" fontId="12" fillId="39" borderId="14" xfId="0" applyNumberFormat="1" applyFont="1" applyFill="1" applyBorder="1" applyAlignment="1">
      <alignment horizontal="right" wrapText="1"/>
    </xf>
    <xf numFmtId="3" fontId="12" fillId="39" borderId="15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5" fillId="0" borderId="61" xfId="0" applyFont="1" applyFill="1" applyBorder="1" applyAlignment="1">
      <alignment horizontal="left" vertical="center"/>
    </xf>
    <xf numFmtId="3" fontId="12" fillId="0" borderId="33" xfId="0" applyNumberFormat="1" applyFont="1" applyFill="1" applyBorder="1" applyAlignment="1">
      <alignment wrapText="1"/>
    </xf>
    <xf numFmtId="3" fontId="12" fillId="0" borderId="46" xfId="0" applyNumberFormat="1" applyFont="1" applyFill="1" applyBorder="1" applyAlignment="1">
      <alignment wrapText="1"/>
    </xf>
    <xf numFmtId="3" fontId="12" fillId="0" borderId="62" xfId="0" applyNumberFormat="1" applyFont="1" applyFill="1" applyBorder="1" applyAlignment="1">
      <alignment wrapText="1"/>
    </xf>
    <xf numFmtId="0" fontId="15" fillId="0" borderId="14" xfId="0" applyFont="1" applyFill="1" applyBorder="1" applyAlignment="1">
      <alignment horizontal="left" vertical="center"/>
    </xf>
    <xf numFmtId="3" fontId="3" fillId="39" borderId="14" xfId="0" applyNumberFormat="1" applyFont="1" applyFill="1" applyBorder="1" applyAlignment="1">
      <alignment wrapText="1"/>
    </xf>
    <xf numFmtId="3" fontId="3" fillId="39" borderId="46" xfId="0" applyNumberFormat="1" applyFont="1" applyFill="1" applyBorder="1" applyAlignment="1">
      <alignment wrapText="1"/>
    </xf>
    <xf numFmtId="3" fontId="3" fillId="39" borderId="62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/>
    </xf>
    <xf numFmtId="3" fontId="12" fillId="34" borderId="14" xfId="0" applyNumberFormat="1" applyFont="1" applyFill="1" applyBorder="1" applyAlignment="1">
      <alignment wrapText="1"/>
    </xf>
    <xf numFmtId="3" fontId="12" fillId="34" borderId="15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3" fontId="3" fillId="0" borderId="14" xfId="0" applyNumberFormat="1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right" vertical="center"/>
    </xf>
    <xf numFmtId="3" fontId="3" fillId="59" borderId="14" xfId="0" applyNumberFormat="1" applyFont="1" applyFill="1" applyBorder="1" applyAlignment="1">
      <alignment/>
    </xf>
    <xf numFmtId="0" fontId="15" fillId="0" borderId="11" xfId="0" applyFont="1" applyFill="1" applyBorder="1" applyAlignment="1">
      <alignment vertical="top" wrapText="1"/>
    </xf>
    <xf numFmtId="3" fontId="3" fillId="0" borderId="45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0" fontId="15" fillId="39" borderId="11" xfId="0" applyFont="1" applyFill="1" applyBorder="1" applyAlignment="1">
      <alignment vertical="top" wrapText="1"/>
    </xf>
    <xf numFmtId="3" fontId="3" fillId="39" borderId="14" xfId="0" applyNumberFormat="1" applyFont="1" applyFill="1" applyBorder="1" applyAlignment="1">
      <alignment horizontal="right" vertical="center"/>
    </xf>
    <xf numFmtId="3" fontId="3" fillId="39" borderId="14" xfId="0" applyNumberFormat="1" applyFont="1" applyFill="1" applyBorder="1" applyAlignment="1">
      <alignment/>
    </xf>
    <xf numFmtId="3" fontId="3" fillId="39" borderId="45" xfId="0" applyNumberFormat="1" applyFont="1" applyFill="1" applyBorder="1" applyAlignment="1">
      <alignment/>
    </xf>
    <xf numFmtId="3" fontId="3" fillId="39" borderId="52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 wrapText="1"/>
    </xf>
    <xf numFmtId="3" fontId="3" fillId="34" borderId="15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89" fontId="3" fillId="34" borderId="16" xfId="0" applyNumberFormat="1" applyFont="1" applyFill="1" applyBorder="1" applyAlignment="1">
      <alignment wrapText="1"/>
    </xf>
    <xf numFmtId="189" fontId="3" fillId="34" borderId="17" xfId="0" applyNumberFormat="1" applyFont="1" applyFill="1" applyBorder="1" applyAlignment="1">
      <alignment wrapText="1"/>
    </xf>
    <xf numFmtId="3" fontId="3" fillId="42" borderId="14" xfId="0" applyNumberFormat="1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wrapText="1"/>
    </xf>
    <xf numFmtId="0" fontId="15" fillId="39" borderId="14" xfId="0" applyFont="1" applyFill="1" applyBorder="1" applyAlignment="1">
      <alignment horizontal="left" vertical="center"/>
    </xf>
    <xf numFmtId="3" fontId="3" fillId="0" borderId="46" xfId="0" applyNumberFormat="1" applyFont="1" applyFill="1" applyBorder="1" applyAlignment="1">
      <alignment wrapText="1"/>
    </xf>
    <xf numFmtId="3" fontId="3" fillId="0" borderId="62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59" xfId="0" applyNumberFormat="1" applyFont="1" applyFill="1" applyBorder="1" applyAlignment="1">
      <alignment/>
    </xf>
    <xf numFmtId="3" fontId="3" fillId="39" borderId="59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 wrapText="1"/>
    </xf>
    <xf numFmtId="0" fontId="15" fillId="0" borderId="6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3" fontId="12" fillId="0" borderId="15" xfId="0" applyNumberFormat="1" applyFont="1" applyBorder="1" applyAlignment="1">
      <alignment wrapText="1"/>
    </xf>
    <xf numFmtId="0" fontId="12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2" fillId="33" borderId="50" xfId="0" applyNumberFormat="1" applyFont="1" applyFill="1" applyBorder="1" applyAlignment="1">
      <alignment horizontal="center" wrapText="1"/>
    </xf>
    <xf numFmtId="0" fontId="12" fillId="33" borderId="51" xfId="0" applyNumberFormat="1" applyFont="1" applyFill="1" applyBorder="1" applyAlignment="1">
      <alignment horizontal="center" wrapText="1"/>
    </xf>
    <xf numFmtId="3" fontId="12" fillId="34" borderId="14" xfId="0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0" fontId="15" fillId="39" borderId="11" xfId="0" applyFont="1" applyFill="1" applyBorder="1" applyAlignment="1">
      <alignment horizontal="left" vertical="center"/>
    </xf>
    <xf numFmtId="3" fontId="3" fillId="39" borderId="14" xfId="0" applyNumberFormat="1" applyFont="1" applyFill="1" applyBorder="1" applyAlignment="1">
      <alignment horizontal="right" wrapText="1"/>
    </xf>
    <xf numFmtId="3" fontId="3" fillId="39" borderId="15" xfId="0" applyNumberFormat="1" applyFont="1" applyFill="1" applyBorder="1" applyAlignment="1">
      <alignment horizontal="right" wrapText="1"/>
    </xf>
    <xf numFmtId="3" fontId="12" fillId="34" borderId="15" xfId="0" applyNumberFormat="1" applyFont="1" applyFill="1" applyBorder="1" applyAlignment="1">
      <alignment horizontal="right" wrapText="1"/>
    </xf>
    <xf numFmtId="3" fontId="3" fillId="39" borderId="15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0" fontId="3" fillId="0" borderId="0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206" fontId="35" fillId="0" borderId="0" xfId="0" applyNumberFormat="1" applyFont="1" applyFill="1" applyAlignment="1">
      <alignment/>
    </xf>
    <xf numFmtId="206" fontId="35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3" fontId="3" fillId="49" borderId="14" xfId="0" applyNumberFormat="1" applyFont="1" applyFill="1" applyBorder="1" applyAlignment="1">
      <alignment/>
    </xf>
    <xf numFmtId="4" fontId="22" fillId="0" borderId="30" xfId="56" applyNumberFormat="1" applyFont="1" applyFill="1" applyBorder="1" applyAlignment="1" applyProtection="1">
      <alignment horizontal="left" wrapText="1"/>
      <protection locked="0"/>
    </xf>
    <xf numFmtId="4" fontId="22" fillId="0" borderId="36" xfId="56" applyNumberFormat="1" applyFont="1" applyFill="1" applyBorder="1" applyAlignment="1" applyProtection="1">
      <alignment horizontal="left" wrapText="1"/>
      <protection locked="0"/>
    </xf>
    <xf numFmtId="0" fontId="3" fillId="0" borderId="25" xfId="56" applyFont="1" applyFill="1" applyBorder="1" applyAlignment="1">
      <alignment horizontal="left"/>
      <protection/>
    </xf>
    <xf numFmtId="0" fontId="3" fillId="0" borderId="24" xfId="56" applyFont="1" applyFill="1" applyBorder="1" applyAlignment="1">
      <alignment horizontal="left"/>
      <protection/>
    </xf>
    <xf numFmtId="0" fontId="12" fillId="0" borderId="20" xfId="56" applyFont="1" applyFill="1" applyBorder="1" applyAlignment="1">
      <alignment wrapText="1"/>
      <protection/>
    </xf>
    <xf numFmtId="0" fontId="3" fillId="0" borderId="20" xfId="0" applyFont="1" applyFill="1" applyBorder="1" applyAlignment="1">
      <alignment wrapText="1"/>
    </xf>
    <xf numFmtId="0" fontId="12" fillId="0" borderId="20" xfId="56" applyFont="1" applyFill="1" applyBorder="1" applyAlignment="1">
      <alignment horizontal="left" wrapText="1"/>
      <protection/>
    </xf>
    <xf numFmtId="0" fontId="3" fillId="0" borderId="20" xfId="0" applyFont="1" applyBorder="1" applyAlignment="1">
      <alignment wrapText="1"/>
    </xf>
    <xf numFmtId="0" fontId="21" fillId="42" borderId="0" xfId="51" applyFont="1" applyFill="1" applyBorder="1" applyAlignment="1">
      <alignment/>
      <protection/>
    </xf>
    <xf numFmtId="0" fontId="30" fillId="0" borderId="0" xfId="0" applyFont="1" applyAlignment="1">
      <alignment/>
    </xf>
    <xf numFmtId="49" fontId="28" fillId="45" borderId="65" xfId="0" applyNumberFormat="1" applyFont="1" applyFill="1" applyBorder="1" applyAlignment="1">
      <alignment horizontal="left" wrapText="1"/>
    </xf>
    <xf numFmtId="0" fontId="0" fillId="0" borderId="66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6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Hyperlink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Märkus" xfId="45"/>
    <cellStyle name="Neutraalne" xfId="46"/>
    <cellStyle name="Normaallaad 2" xfId="47"/>
    <cellStyle name="Normaallaad 3" xfId="48"/>
    <cellStyle name="Normaallaad 4" xfId="49"/>
    <cellStyle name="Normaallaad 5" xfId="50"/>
    <cellStyle name="Normal 2" xfId="51"/>
    <cellStyle name="Normal 2 2" xfId="52"/>
    <cellStyle name="Normal 3" xfId="53"/>
    <cellStyle name="Normal_Kuuaruanne 122004 2" xfId="54"/>
    <cellStyle name="Normal_Sheet1" xfId="55"/>
    <cellStyle name="Normal_Sheet1 2" xfId="56"/>
    <cellStyle name="Normal_Sheet1 2 2" xfId="57"/>
    <cellStyle name="Pealkiri 1" xfId="58"/>
    <cellStyle name="Pealkiri 2" xfId="59"/>
    <cellStyle name="Pealkiri 3" xfId="60"/>
    <cellStyle name="Pealkiri 4" xfId="61"/>
    <cellStyle name="Percent" xfId="62"/>
    <cellStyle name="Protsent 2" xfId="63"/>
    <cellStyle name="Protsent 3" xfId="64"/>
    <cellStyle name="Rõhk1" xfId="65"/>
    <cellStyle name="Rõhk2" xfId="66"/>
    <cellStyle name="Rõhk3" xfId="67"/>
    <cellStyle name="Rõhk4" xfId="68"/>
    <cellStyle name="Rõhk5" xfId="69"/>
    <cellStyle name="Rõhk6" xfId="70"/>
    <cellStyle name="Selgitav tekst" xfId="71"/>
    <cellStyle name="Sisend" xfId="72"/>
    <cellStyle name="Style 1" xfId="73"/>
    <cellStyle name="Currency" xfId="74"/>
    <cellStyle name="Currency [0]" xfId="75"/>
    <cellStyle name="Väljund" xfId="76"/>
    <cellStyle name="Üldpealkiri" xfId="7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16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4" sqref="C54:F54"/>
    </sheetView>
  </sheetViews>
  <sheetFormatPr defaultColWidth="9.140625" defaultRowHeight="12.75"/>
  <cols>
    <col min="1" max="1" width="11.28125" style="145" customWidth="1"/>
    <col min="2" max="2" width="5.28125" style="71" customWidth="1"/>
    <col min="3" max="3" width="40.00390625" style="71" customWidth="1"/>
    <col min="4" max="4" width="12.7109375" style="110" customWidth="1"/>
    <col min="5" max="5" width="16.421875" style="0" customWidth="1"/>
    <col min="6" max="6" width="21.421875" style="129" customWidth="1"/>
    <col min="7" max="7" width="9.8515625" style="35" customWidth="1"/>
    <col min="8" max="8" width="15.28125" style="71" customWidth="1"/>
    <col min="9" max="9" width="13.7109375" style="0" customWidth="1"/>
    <col min="10" max="10" width="17.140625" style="0" customWidth="1"/>
    <col min="11" max="11" width="56.28125" style="0" customWidth="1"/>
    <col min="12" max="16384" width="9.140625" style="35" customWidth="1"/>
  </cols>
  <sheetData>
    <row r="1" spans="1:11" s="71" customFormat="1" ht="25.5" customHeight="1">
      <c r="A1" s="145"/>
      <c r="B1" s="116" t="s">
        <v>309</v>
      </c>
      <c r="C1" s="128"/>
      <c r="D1" s="261" t="s">
        <v>388</v>
      </c>
      <c r="E1"/>
      <c r="F1" s="260" t="s">
        <v>338</v>
      </c>
      <c r="H1" s="258" t="s">
        <v>386</v>
      </c>
      <c r="I1"/>
      <c r="J1"/>
      <c r="K1"/>
    </row>
    <row r="2" spans="1:11" s="71" customFormat="1" ht="15" customHeight="1" thickBot="1">
      <c r="A2" s="146" t="s">
        <v>212</v>
      </c>
      <c r="B2" s="52"/>
      <c r="C2" s="53"/>
      <c r="D2" s="110"/>
      <c r="E2"/>
      <c r="F2" s="135" t="s">
        <v>340</v>
      </c>
      <c r="H2" s="259" t="s">
        <v>387</v>
      </c>
      <c r="I2"/>
      <c r="J2"/>
      <c r="K2"/>
    </row>
    <row r="3" spans="1:11" s="71" customFormat="1" ht="27" customHeight="1" thickBot="1">
      <c r="A3" s="147" t="s">
        <v>5</v>
      </c>
      <c r="B3" s="72"/>
      <c r="C3" s="54"/>
      <c r="D3" s="551" t="s">
        <v>358</v>
      </c>
      <c r="E3"/>
      <c r="F3" s="144" t="s">
        <v>294</v>
      </c>
      <c r="H3" s="241" t="s">
        <v>456</v>
      </c>
      <c r="I3"/>
      <c r="J3"/>
      <c r="K3"/>
    </row>
    <row r="4" spans="1:11" s="71" customFormat="1" ht="25.5" customHeight="1" thickBot="1">
      <c r="A4" s="148" t="s">
        <v>206</v>
      </c>
      <c r="B4" s="73"/>
      <c r="C4" s="55"/>
      <c r="D4" s="552"/>
      <c r="E4"/>
      <c r="F4" s="95"/>
      <c r="H4" s="280" t="s">
        <v>462</v>
      </c>
      <c r="I4"/>
      <c r="J4"/>
      <c r="K4"/>
    </row>
    <row r="5" spans="1:11" s="71" customFormat="1" ht="27" customHeight="1" thickBot="1">
      <c r="A5" s="74" t="s">
        <v>303</v>
      </c>
      <c r="B5" s="91" t="s">
        <v>172</v>
      </c>
      <c r="C5" s="56"/>
      <c r="D5" s="279" t="s">
        <v>461</v>
      </c>
      <c r="E5"/>
      <c r="F5" s="95"/>
      <c r="H5" s="139" t="s">
        <v>311</v>
      </c>
      <c r="I5"/>
      <c r="J5"/>
      <c r="K5"/>
    </row>
    <row r="6" spans="1:11" s="71" customFormat="1" ht="15" customHeight="1" thickBot="1">
      <c r="A6" s="149"/>
      <c r="B6" s="102" t="s">
        <v>171</v>
      </c>
      <c r="C6" s="103"/>
      <c r="D6" s="160">
        <f>D7+D14+D15+D19</f>
        <v>21051462</v>
      </c>
      <c r="E6"/>
      <c r="F6" s="95"/>
      <c r="H6" s="194">
        <f>H7+H14+H15+H19</f>
        <v>20744271.740000002</v>
      </c>
      <c r="I6"/>
      <c r="J6"/>
      <c r="K6"/>
    </row>
    <row r="7" spans="1:11" s="71" customFormat="1" ht="13.5" thickBot="1">
      <c r="A7" s="149">
        <v>30</v>
      </c>
      <c r="B7" s="117" t="s">
        <v>170</v>
      </c>
      <c r="C7" s="118"/>
      <c r="D7" s="161">
        <f>SUM(D8:D13)</f>
        <v>12469839</v>
      </c>
      <c r="E7"/>
      <c r="F7" s="95"/>
      <c r="H7" s="164">
        <f>SUM(H8:H13)</f>
        <v>11624774.25</v>
      </c>
      <c r="I7"/>
      <c r="J7"/>
      <c r="K7"/>
    </row>
    <row r="8" spans="1:8" ht="12.75">
      <c r="A8" s="150">
        <v>3000</v>
      </c>
      <c r="B8" s="75"/>
      <c r="C8" s="57" t="s">
        <v>169</v>
      </c>
      <c r="D8" s="163">
        <v>12136839</v>
      </c>
      <c r="F8" s="95" t="s">
        <v>465</v>
      </c>
      <c r="H8" s="282">
        <v>11289011.86</v>
      </c>
    </row>
    <row r="9" spans="1:8" ht="12.75">
      <c r="A9" s="151">
        <v>3030</v>
      </c>
      <c r="B9" s="76"/>
      <c r="C9" s="57" t="s">
        <v>168</v>
      </c>
      <c r="D9" s="163">
        <v>333000</v>
      </c>
      <c r="H9" s="282">
        <v>335762.39</v>
      </c>
    </row>
    <row r="10" spans="1:8" ht="12.75">
      <c r="A10" s="151">
        <v>3034</v>
      </c>
      <c r="B10" s="76"/>
      <c r="C10" s="57" t="s">
        <v>167</v>
      </c>
      <c r="D10" s="163"/>
      <c r="H10" s="282"/>
    </row>
    <row r="11" spans="1:8" ht="12.75">
      <c r="A11" s="151">
        <v>3044</v>
      </c>
      <c r="B11" s="76"/>
      <c r="C11" s="57" t="s">
        <v>166</v>
      </c>
      <c r="D11" s="163"/>
      <c r="H11" s="195"/>
    </row>
    <row r="12" spans="1:8" ht="12.75">
      <c r="A12" s="151">
        <v>3045</v>
      </c>
      <c r="B12" s="76"/>
      <c r="C12" s="57" t="s">
        <v>165</v>
      </c>
      <c r="D12" s="163"/>
      <c r="H12" s="195"/>
    </row>
    <row r="13" spans="1:8" ht="13.5" thickBot="1">
      <c r="A13" s="152">
        <v>3047</v>
      </c>
      <c r="B13" s="76"/>
      <c r="C13" s="58" t="s">
        <v>164</v>
      </c>
      <c r="D13" s="163"/>
      <c r="H13" s="195"/>
    </row>
    <row r="14" spans="1:11" s="71" customFormat="1" ht="13.5" thickBot="1">
      <c r="A14" s="153">
        <v>32</v>
      </c>
      <c r="B14" s="119" t="s">
        <v>163</v>
      </c>
      <c r="C14" s="118"/>
      <c r="D14" s="161">
        <v>1260000</v>
      </c>
      <c r="E14"/>
      <c r="F14" s="95"/>
      <c r="H14" s="164">
        <v>1264402.24</v>
      </c>
      <c r="I14"/>
      <c r="J14"/>
      <c r="K14"/>
    </row>
    <row r="15" spans="1:11" s="71" customFormat="1" ht="13.5" thickBot="1">
      <c r="A15" s="149"/>
      <c r="B15" s="119" t="s">
        <v>207</v>
      </c>
      <c r="C15" s="118"/>
      <c r="D15" s="162">
        <f>D16+D17+D18</f>
        <v>7116623</v>
      </c>
      <c r="E15"/>
      <c r="F15" s="130"/>
      <c r="H15" s="164">
        <f>H16+H17+H18</f>
        <v>7540033.95</v>
      </c>
      <c r="I15"/>
      <c r="J15"/>
      <c r="K15"/>
    </row>
    <row r="16" spans="1:8" ht="12.75">
      <c r="A16" s="151">
        <v>35200</v>
      </c>
      <c r="B16" s="76"/>
      <c r="C16" s="57" t="s">
        <v>393</v>
      </c>
      <c r="D16" s="165">
        <v>2342368</v>
      </c>
      <c r="F16" s="130" t="s">
        <v>337</v>
      </c>
      <c r="H16" s="282">
        <v>2226043</v>
      </c>
    </row>
    <row r="17" spans="1:8" ht="12.75">
      <c r="A17" s="151">
        <v>35201</v>
      </c>
      <c r="B17" s="76"/>
      <c r="C17" s="58" t="s">
        <v>394</v>
      </c>
      <c r="D17" s="166">
        <v>4474255</v>
      </c>
      <c r="E17">
        <v>140404</v>
      </c>
      <c r="F17" s="130" t="s">
        <v>395</v>
      </c>
      <c r="H17" s="282">
        <v>4875410</v>
      </c>
    </row>
    <row r="18" spans="1:8" ht="13.5" thickBot="1">
      <c r="A18" s="152" t="s">
        <v>213</v>
      </c>
      <c r="B18" s="78"/>
      <c r="C18" s="60" t="s">
        <v>293</v>
      </c>
      <c r="D18" s="168">
        <v>300000</v>
      </c>
      <c r="F18" s="95" t="s">
        <v>399</v>
      </c>
      <c r="H18" s="282">
        <v>438580.95</v>
      </c>
    </row>
    <row r="19" spans="1:11" s="71" customFormat="1" ht="13.5" thickBot="1">
      <c r="A19" s="149"/>
      <c r="B19" s="119" t="s">
        <v>162</v>
      </c>
      <c r="C19" s="221"/>
      <c r="D19" s="161">
        <f>SUM(D20:D23)</f>
        <v>205000</v>
      </c>
      <c r="E19"/>
      <c r="F19" s="135"/>
      <c r="H19" s="164">
        <f>SUM(H20:H23)</f>
        <v>315061.30000000005</v>
      </c>
      <c r="I19"/>
      <c r="J19"/>
      <c r="K19"/>
    </row>
    <row r="20" spans="1:8" ht="12.75">
      <c r="A20" s="150" t="s">
        <v>364</v>
      </c>
      <c r="B20" s="76"/>
      <c r="C20" s="43" t="s">
        <v>331</v>
      </c>
      <c r="D20" s="218">
        <v>200000</v>
      </c>
      <c r="F20" s="129" t="s">
        <v>310</v>
      </c>
      <c r="H20" s="282">
        <v>294818.10000000003</v>
      </c>
    </row>
    <row r="21" spans="1:8" ht="12.75">
      <c r="A21" s="151" t="s">
        <v>365</v>
      </c>
      <c r="B21" s="76"/>
      <c r="C21" s="57" t="s">
        <v>304</v>
      </c>
      <c r="D21" s="219">
        <v>5000</v>
      </c>
      <c r="H21" s="282">
        <v>18656.2</v>
      </c>
    </row>
    <row r="22" spans="1:11" s="71" customFormat="1" ht="12.75">
      <c r="A22" s="151">
        <v>3882</v>
      </c>
      <c r="B22" s="76"/>
      <c r="C22" s="57" t="s">
        <v>332</v>
      </c>
      <c r="D22" s="255"/>
      <c r="E22" s="256"/>
      <c r="F22" s="95"/>
      <c r="H22" s="282"/>
      <c r="I22"/>
      <c r="J22"/>
      <c r="K22"/>
    </row>
    <row r="23" spans="1:11" s="71" customFormat="1" ht="13.5" thickBot="1">
      <c r="A23" s="152" t="s">
        <v>312</v>
      </c>
      <c r="B23" s="78"/>
      <c r="C23" s="59" t="s">
        <v>333</v>
      </c>
      <c r="D23" s="220"/>
      <c r="E23"/>
      <c r="F23" s="134" t="s">
        <v>357</v>
      </c>
      <c r="H23" s="282">
        <v>1587</v>
      </c>
      <c r="I23"/>
      <c r="J23"/>
      <c r="K23"/>
    </row>
    <row r="24" spans="1:11" s="71" customFormat="1" ht="13.5" thickBot="1">
      <c r="A24" s="154"/>
      <c r="B24" s="104" t="s">
        <v>161</v>
      </c>
      <c r="C24" s="105"/>
      <c r="D24" s="169">
        <f>D25+D30</f>
        <v>-17265000</v>
      </c>
      <c r="E24"/>
      <c r="F24"/>
      <c r="H24" s="196">
        <f>H25+H30</f>
        <v>-16295364.259999998</v>
      </c>
      <c r="I24"/>
      <c r="J24"/>
      <c r="K24"/>
    </row>
    <row r="25" spans="1:11" s="71" customFormat="1" ht="13.5" thickBot="1">
      <c r="A25" s="155"/>
      <c r="B25" s="120" t="s">
        <v>208</v>
      </c>
      <c r="C25" s="121"/>
      <c r="D25" s="169">
        <f>D26+D27+D28+D29</f>
        <v>-765000</v>
      </c>
      <c r="E25"/>
      <c r="F25" s="130"/>
      <c r="H25" s="196">
        <f>H26+H27+H28+H29</f>
        <v>-784690.86</v>
      </c>
      <c r="I25"/>
      <c r="J25"/>
      <c r="K25"/>
    </row>
    <row r="26" spans="1:8" ht="12.75">
      <c r="A26" s="150">
        <v>40</v>
      </c>
      <c r="B26" s="75"/>
      <c r="C26" s="61" t="s">
        <v>160</v>
      </c>
      <c r="D26" s="170"/>
      <c r="H26" s="197">
        <v>0</v>
      </c>
    </row>
    <row r="27" spans="1:8" ht="12.75">
      <c r="A27" s="151">
        <v>413</v>
      </c>
      <c r="B27" s="76"/>
      <c r="C27" s="43" t="s">
        <v>209</v>
      </c>
      <c r="D27" s="171">
        <v>-465000</v>
      </c>
      <c r="H27" s="282">
        <v>-365735</v>
      </c>
    </row>
    <row r="28" spans="1:8" ht="12.75">
      <c r="A28" s="151">
        <v>4500</v>
      </c>
      <c r="B28" s="76"/>
      <c r="C28" s="62" t="s">
        <v>210</v>
      </c>
      <c r="D28" s="171"/>
      <c r="H28" s="282">
        <v>-98758</v>
      </c>
    </row>
    <row r="29" spans="1:8" ht="13.5" thickBot="1">
      <c r="A29" s="156">
        <v>452</v>
      </c>
      <c r="B29" s="80"/>
      <c r="C29" s="44" t="s">
        <v>211</v>
      </c>
      <c r="D29" s="163">
        <v>-300000</v>
      </c>
      <c r="H29" s="282">
        <v>-320197.86</v>
      </c>
    </row>
    <row r="30" spans="1:11" s="71" customFormat="1" ht="13.5" thickBot="1">
      <c r="A30" s="153"/>
      <c r="B30" s="119" t="s">
        <v>159</v>
      </c>
      <c r="C30" s="118"/>
      <c r="D30" s="161">
        <f>D31+D32+D33</f>
        <v>-16500000</v>
      </c>
      <c r="E30"/>
      <c r="F30" s="95"/>
      <c r="H30" s="198">
        <f>H31+H32+H33</f>
        <v>-15510673.399999999</v>
      </c>
      <c r="I30"/>
      <c r="J30"/>
      <c r="K30"/>
    </row>
    <row r="31" spans="1:8" ht="12.75">
      <c r="A31" s="151">
        <v>50</v>
      </c>
      <c r="B31" s="76"/>
      <c r="C31" s="57" t="s">
        <v>158</v>
      </c>
      <c r="D31" s="172">
        <v>-9900000</v>
      </c>
      <c r="H31" s="282">
        <v>-9372129.18</v>
      </c>
    </row>
    <row r="32" spans="1:8" ht="12.75">
      <c r="A32" s="151">
        <v>55</v>
      </c>
      <c r="B32" s="76"/>
      <c r="C32" s="57" t="s">
        <v>157</v>
      </c>
      <c r="D32" s="171">
        <v>-6600000</v>
      </c>
      <c r="H32" s="282">
        <v>-6132391.38</v>
      </c>
    </row>
    <row r="33" spans="1:11" s="71" customFormat="1" ht="13.5" thickBot="1">
      <c r="A33" s="152">
        <v>60</v>
      </c>
      <c r="B33" s="78"/>
      <c r="C33" s="59" t="s">
        <v>156</v>
      </c>
      <c r="D33" s="177"/>
      <c r="E33"/>
      <c r="F33" s="130" t="s">
        <v>372</v>
      </c>
      <c r="H33" s="282">
        <v>-6152.840000000317</v>
      </c>
      <c r="I33"/>
      <c r="J33"/>
      <c r="K33"/>
    </row>
    <row r="34" spans="1:11" s="71" customFormat="1" ht="13.5" thickBot="1">
      <c r="A34" s="153"/>
      <c r="B34" s="112" t="s">
        <v>155</v>
      </c>
      <c r="C34" s="113"/>
      <c r="D34" s="173">
        <f>D6+D24</f>
        <v>3786462</v>
      </c>
      <c r="E34"/>
      <c r="F34" s="109"/>
      <c r="H34" s="173">
        <f>H6+H24</f>
        <v>4448907.480000004</v>
      </c>
      <c r="I34"/>
      <c r="J34"/>
      <c r="K34"/>
    </row>
    <row r="35" spans="1:11" s="71" customFormat="1" ht="13.5" thickBot="1">
      <c r="A35" s="153"/>
      <c r="B35" s="106" t="s">
        <v>154</v>
      </c>
      <c r="C35" s="107"/>
      <c r="D35" s="174">
        <f>D36+D37+D38+D39+D40+D41+D42+D43+D44+D45+D46+D47</f>
        <v>-5416965</v>
      </c>
      <c r="E35"/>
      <c r="F35" s="133"/>
      <c r="H35" s="181">
        <f>H36+H37+H38+H39+H40+H41+H42+H43+H44+H45+H46+H47</f>
        <v>-10734660.030000001</v>
      </c>
      <c r="I35"/>
      <c r="J35"/>
      <c r="K35"/>
    </row>
    <row r="36" spans="1:11" s="71" customFormat="1" ht="12.75">
      <c r="A36" s="151">
        <v>381</v>
      </c>
      <c r="B36" s="76"/>
      <c r="C36" s="122" t="s">
        <v>153</v>
      </c>
      <c r="D36" s="163">
        <v>200000</v>
      </c>
      <c r="E36"/>
      <c r="F36" s="229"/>
      <c r="H36" s="282">
        <v>93390</v>
      </c>
      <c r="I36"/>
      <c r="J36"/>
      <c r="K36"/>
    </row>
    <row r="37" spans="1:8" ht="12.75">
      <c r="A37" s="151">
        <v>15</v>
      </c>
      <c r="B37" s="76"/>
      <c r="C37" s="122" t="s">
        <v>147</v>
      </c>
      <c r="D37" s="163">
        <v>-5593000</v>
      </c>
      <c r="F37" s="275" t="s">
        <v>342</v>
      </c>
      <c r="H37" s="282">
        <v>-12906621.45</v>
      </c>
    </row>
    <row r="38" spans="1:8" ht="12.75">
      <c r="A38" s="151">
        <v>3502</v>
      </c>
      <c r="B38" s="76"/>
      <c r="C38" s="122" t="s">
        <v>151</v>
      </c>
      <c r="D38" s="171">
        <v>813000</v>
      </c>
      <c r="E38">
        <f>-113000+275000</f>
        <v>162000</v>
      </c>
      <c r="G38" s="129" t="s">
        <v>295</v>
      </c>
      <c r="H38" s="282">
        <v>2337065.52</v>
      </c>
    </row>
    <row r="39" spans="1:8" ht="12.75">
      <c r="A39" s="151">
        <v>4502</v>
      </c>
      <c r="B39" s="76"/>
      <c r="C39" s="123" t="s">
        <v>145</v>
      </c>
      <c r="D39" s="163">
        <v>-737975</v>
      </c>
      <c r="F39" s="131"/>
      <c r="G39" s="131"/>
      <c r="H39" s="282">
        <v>-189511.74</v>
      </c>
    </row>
    <row r="40" spans="1:8" ht="12.75">
      <c r="A40" s="175" t="s">
        <v>366</v>
      </c>
      <c r="B40" s="64"/>
      <c r="C40" s="265" t="s">
        <v>150</v>
      </c>
      <c r="D40" s="176"/>
      <c r="F40" s="132"/>
      <c r="G40" s="132" t="s">
        <v>296</v>
      </c>
      <c r="H40" s="282"/>
    </row>
    <row r="41" spans="1:8" ht="12.75">
      <c r="A41" s="175" t="s">
        <v>367</v>
      </c>
      <c r="B41" s="64"/>
      <c r="C41" s="265" t="s">
        <v>144</v>
      </c>
      <c r="D41" s="176"/>
      <c r="F41" s="111" t="s">
        <v>420</v>
      </c>
      <c r="G41" s="132" t="s">
        <v>297</v>
      </c>
      <c r="H41" s="282"/>
    </row>
    <row r="42" spans="1:8" ht="12.75">
      <c r="A42" s="175" t="s">
        <v>368</v>
      </c>
      <c r="B42" s="76"/>
      <c r="C42" s="266" t="s">
        <v>149</v>
      </c>
      <c r="D42" s="176"/>
      <c r="F42" s="131"/>
      <c r="G42" s="131" t="s">
        <v>298</v>
      </c>
      <c r="H42" s="282">
        <v>117.6</v>
      </c>
    </row>
    <row r="43" spans="1:8" ht="12.75">
      <c r="A43" s="175" t="s">
        <v>369</v>
      </c>
      <c r="B43" s="76"/>
      <c r="C43" s="266" t="s">
        <v>143</v>
      </c>
      <c r="D43" s="176"/>
      <c r="F43" s="111" t="s">
        <v>420</v>
      </c>
      <c r="G43" s="131" t="s">
        <v>299</v>
      </c>
      <c r="H43" s="282">
        <v>-17200</v>
      </c>
    </row>
    <row r="44" spans="1:11" s="71" customFormat="1" ht="12.75">
      <c r="A44" s="151">
        <v>1532</v>
      </c>
      <c r="B44" s="76"/>
      <c r="C44" s="124" t="s">
        <v>148</v>
      </c>
      <c r="D44" s="163"/>
      <c r="E44"/>
      <c r="F44" s="96"/>
      <c r="G44" s="71" t="s">
        <v>335</v>
      </c>
      <c r="H44" s="282"/>
      <c r="I44"/>
      <c r="J44"/>
      <c r="K44"/>
    </row>
    <row r="45" spans="1:11" s="71" customFormat="1" ht="12.75">
      <c r="A45" s="151">
        <v>1531</v>
      </c>
      <c r="B45" s="76"/>
      <c r="C45" s="123" t="s">
        <v>142</v>
      </c>
      <c r="D45" s="176"/>
      <c r="E45"/>
      <c r="F45" s="274" t="s">
        <v>392</v>
      </c>
      <c r="G45" s="71" t="s">
        <v>336</v>
      </c>
      <c r="H45" s="282"/>
      <c r="I45"/>
      <c r="J45"/>
      <c r="K45"/>
    </row>
    <row r="46" spans="1:11" s="71" customFormat="1" ht="12.75">
      <c r="A46" s="157">
        <v>655</v>
      </c>
      <c r="B46" s="64"/>
      <c r="C46" s="122" t="s">
        <v>152</v>
      </c>
      <c r="D46" s="176"/>
      <c r="E46"/>
      <c r="F46" s="111" t="s">
        <v>401</v>
      </c>
      <c r="H46" s="282">
        <v>953.7</v>
      </c>
      <c r="I46"/>
      <c r="J46"/>
      <c r="K46"/>
    </row>
    <row r="47" spans="1:11" s="71" customFormat="1" ht="13.5" thickBot="1">
      <c r="A47" s="152">
        <v>650</v>
      </c>
      <c r="B47" s="78"/>
      <c r="C47" s="125" t="s">
        <v>146</v>
      </c>
      <c r="D47" s="177">
        <v>-98990</v>
      </c>
      <c r="E47"/>
      <c r="F47" s="111"/>
      <c r="H47" s="282">
        <v>-52853.66</v>
      </c>
      <c r="I47"/>
      <c r="J47"/>
      <c r="K47"/>
    </row>
    <row r="48" spans="1:11" s="71" customFormat="1" ht="13.5" thickBot="1">
      <c r="A48" s="149"/>
      <c r="B48" s="114" t="s">
        <v>141</v>
      </c>
      <c r="C48" s="115"/>
      <c r="D48" s="178">
        <f>D34+D35</f>
        <v>-1630503</v>
      </c>
      <c r="E48"/>
      <c r="F48"/>
      <c r="G48" s="110">
        <f>E52-E49</f>
        <v>-2017553</v>
      </c>
      <c r="H48" s="179">
        <f>H34+H35</f>
        <v>-6285752.549999997</v>
      </c>
      <c r="I48"/>
      <c r="J48"/>
      <c r="K48"/>
    </row>
    <row r="49" spans="1:11" s="71" customFormat="1" ht="13.5" thickBot="1">
      <c r="A49" s="149"/>
      <c r="B49" s="106" t="s">
        <v>140</v>
      </c>
      <c r="C49" s="107"/>
      <c r="D49" s="180">
        <f>D50+D51</f>
        <v>2017553</v>
      </c>
      <c r="E49" s="283">
        <f>+D50+D51</f>
        <v>2017553</v>
      </c>
      <c r="F49" s="110"/>
      <c r="H49" s="181">
        <f>H50+H51</f>
        <v>7245804.52</v>
      </c>
      <c r="I49"/>
      <c r="J49"/>
      <c r="K49"/>
    </row>
    <row r="50" spans="1:11" s="71" customFormat="1" ht="12.75">
      <c r="A50" s="158" t="s">
        <v>370</v>
      </c>
      <c r="B50" s="81"/>
      <c r="C50" s="126" t="s">
        <v>139</v>
      </c>
      <c r="D50" s="176">
        <v>3500000</v>
      </c>
      <c r="E50"/>
      <c r="F50" s="257" t="s">
        <v>406</v>
      </c>
      <c r="H50" s="199">
        <v>8000000</v>
      </c>
      <c r="I50"/>
      <c r="J50"/>
      <c r="K50"/>
    </row>
    <row r="51" spans="1:11" s="71" customFormat="1" ht="13.5" thickBot="1">
      <c r="A51" s="159" t="s">
        <v>371</v>
      </c>
      <c r="B51" s="82"/>
      <c r="C51" s="127" t="s">
        <v>138</v>
      </c>
      <c r="D51" s="182">
        <v>-1482447</v>
      </c>
      <c r="E51"/>
      <c r="F51" s="97" t="s">
        <v>300</v>
      </c>
      <c r="H51" s="200">
        <v>-754195.48</v>
      </c>
      <c r="I51"/>
      <c r="J51"/>
      <c r="K51"/>
    </row>
    <row r="52" spans="1:11" s="71" customFormat="1" ht="13.5" thickBot="1">
      <c r="A52" s="276">
        <v>100</v>
      </c>
      <c r="B52" s="102" t="s">
        <v>137</v>
      </c>
      <c r="C52" s="108"/>
      <c r="D52" s="178">
        <v>5000</v>
      </c>
      <c r="E52" s="283"/>
      <c r="F52"/>
      <c r="H52" s="201">
        <v>710591</v>
      </c>
      <c r="I52"/>
      <c r="J52"/>
      <c r="K52"/>
    </row>
    <row r="53" spans="1:8" ht="27" customHeight="1" thickBot="1">
      <c r="A53" s="149"/>
      <c r="B53" s="557" t="s">
        <v>444</v>
      </c>
      <c r="C53" s="558"/>
      <c r="D53" s="183">
        <v>-382050</v>
      </c>
      <c r="F53" s="35"/>
      <c r="H53" s="202">
        <v>-249460.97</v>
      </c>
    </row>
    <row r="54" spans="1:8" ht="13.5" customHeight="1" thickBot="1">
      <c r="A54" s="149"/>
      <c r="B54" s="64"/>
      <c r="C54" s="559" t="s">
        <v>419</v>
      </c>
      <c r="D54" s="560"/>
      <c r="E54" s="560"/>
      <c r="F54" s="560"/>
      <c r="G54" s="264"/>
      <c r="H54" s="278"/>
    </row>
    <row r="55" spans="1:11" s="71" customFormat="1" ht="37.5" customHeight="1" hidden="1" thickBot="1">
      <c r="A55" s="149"/>
      <c r="B55" s="555" t="s">
        <v>181</v>
      </c>
      <c r="C55" s="556"/>
      <c r="D55" s="169">
        <f>D56+D63+D64+D68+D85+D92+D99+D106+D124+D137</f>
        <v>0</v>
      </c>
      <c r="E55"/>
      <c r="F55"/>
      <c r="H55" s="169">
        <f>H56+H63+H64+H68+H85+H92+H99+H106+H124+H137</f>
        <v>0</v>
      </c>
      <c r="I55"/>
      <c r="J55"/>
      <c r="K55"/>
    </row>
    <row r="56" spans="1:8" ht="13.5" hidden="1" thickBot="1">
      <c r="A56" s="83" t="s">
        <v>214</v>
      </c>
      <c r="B56" s="92" t="s">
        <v>136</v>
      </c>
      <c r="C56" s="41"/>
      <c r="D56" s="184">
        <f>SUM(D57:D62)</f>
        <v>0</v>
      </c>
      <c r="F56"/>
      <c r="H56" s="203">
        <f>SUM(H57:H62)</f>
        <v>0</v>
      </c>
    </row>
    <row r="57" spans="1:8" ht="12.75" hidden="1">
      <c r="A57" s="84" t="s">
        <v>215</v>
      </c>
      <c r="B57" s="76" t="s">
        <v>135</v>
      </c>
      <c r="C57" s="57"/>
      <c r="D57" s="185"/>
      <c r="F57"/>
      <c r="H57" s="204"/>
    </row>
    <row r="58" spans="1:8" ht="12.75" hidden="1">
      <c r="A58" s="84" t="s">
        <v>216</v>
      </c>
      <c r="B58" s="76" t="s">
        <v>134</v>
      </c>
      <c r="C58" s="57"/>
      <c r="D58" s="185"/>
      <c r="F58"/>
      <c r="H58" s="204"/>
    </row>
    <row r="59" spans="1:8" ht="12.75" hidden="1">
      <c r="A59" s="84" t="s">
        <v>217</v>
      </c>
      <c r="B59" s="93" t="s">
        <v>133</v>
      </c>
      <c r="C59" s="43"/>
      <c r="D59" s="185"/>
      <c r="F59"/>
      <c r="H59" s="205"/>
    </row>
    <row r="60" spans="1:8" ht="12.75" hidden="1">
      <c r="A60" s="84" t="s">
        <v>218</v>
      </c>
      <c r="B60" s="76" t="s">
        <v>132</v>
      </c>
      <c r="C60" s="57"/>
      <c r="D60" s="185"/>
      <c r="F60"/>
      <c r="H60" s="204"/>
    </row>
    <row r="61" spans="1:8" ht="12.75" hidden="1">
      <c r="A61" s="84" t="s">
        <v>219</v>
      </c>
      <c r="B61" s="76" t="s">
        <v>131</v>
      </c>
      <c r="C61" s="57"/>
      <c r="D61" s="186"/>
      <c r="F61"/>
      <c r="H61" s="206"/>
    </row>
    <row r="62" spans="1:8" ht="13.5" hidden="1" thickBot="1">
      <c r="A62" s="84"/>
      <c r="B62" s="78" t="s">
        <v>130</v>
      </c>
      <c r="C62" s="42"/>
      <c r="D62" s="187"/>
      <c r="F62"/>
      <c r="H62" s="200"/>
    </row>
    <row r="63" spans="1:8" ht="13.5" hidden="1" thickBot="1">
      <c r="A63" s="83" t="s">
        <v>220</v>
      </c>
      <c r="B63" s="92" t="s">
        <v>129</v>
      </c>
      <c r="C63" s="41"/>
      <c r="D63" s="188"/>
      <c r="F63"/>
      <c r="H63" s="207"/>
    </row>
    <row r="64" spans="1:11" s="71" customFormat="1" ht="13.5" hidden="1" thickBot="1">
      <c r="A64" s="83" t="s">
        <v>221</v>
      </c>
      <c r="B64" s="92" t="s">
        <v>128</v>
      </c>
      <c r="C64" s="65"/>
      <c r="D64" s="184">
        <f>SUM(D65:D67)</f>
        <v>0</v>
      </c>
      <c r="E64"/>
      <c r="F64"/>
      <c r="H64" s="208">
        <f>SUM(H65:H67)</f>
        <v>0</v>
      </c>
      <c r="I64"/>
      <c r="J64"/>
      <c r="K64"/>
    </row>
    <row r="65" spans="1:8" ht="12.75" hidden="1">
      <c r="A65" s="84" t="s">
        <v>222</v>
      </c>
      <c r="B65" s="76" t="s">
        <v>127</v>
      </c>
      <c r="C65" s="63"/>
      <c r="D65" s="185"/>
      <c r="F65"/>
      <c r="H65" s="204"/>
    </row>
    <row r="66" spans="1:8" ht="12.75" hidden="1">
      <c r="A66" s="84" t="s">
        <v>223</v>
      </c>
      <c r="B66" s="76" t="s">
        <v>126</v>
      </c>
      <c r="C66" s="63"/>
      <c r="D66" s="185"/>
      <c r="F66"/>
      <c r="H66" s="204"/>
    </row>
    <row r="67" spans="1:8" ht="13.5" hidden="1" thickBot="1">
      <c r="A67" s="84"/>
      <c r="B67" s="78" t="s">
        <v>125</v>
      </c>
      <c r="C67" s="40"/>
      <c r="D67" s="187"/>
      <c r="F67"/>
      <c r="H67" s="200"/>
    </row>
    <row r="68" spans="1:8" ht="13.5" hidden="1" thickBot="1">
      <c r="A68" s="83" t="s">
        <v>224</v>
      </c>
      <c r="B68" s="92" t="s">
        <v>124</v>
      </c>
      <c r="C68" s="65"/>
      <c r="D68" s="184">
        <f>SUM(D69:D84)</f>
        <v>0</v>
      </c>
      <c r="F68"/>
      <c r="H68" s="203">
        <f>SUM(H69:H84)</f>
        <v>0</v>
      </c>
    </row>
    <row r="69" spans="1:8" ht="12.75" hidden="1">
      <c r="A69" s="84" t="s">
        <v>225</v>
      </c>
      <c r="B69" s="76" t="s">
        <v>123</v>
      </c>
      <c r="C69" s="63"/>
      <c r="D69" s="189"/>
      <c r="F69"/>
      <c r="H69" s="209"/>
    </row>
    <row r="70" spans="1:11" s="71" customFormat="1" ht="12.75" hidden="1">
      <c r="A70" s="84" t="s">
        <v>226</v>
      </c>
      <c r="B70" s="76" t="s">
        <v>328</v>
      </c>
      <c r="C70" s="58"/>
      <c r="D70" s="185"/>
      <c r="E70"/>
      <c r="F70"/>
      <c r="H70" s="204"/>
      <c r="I70"/>
      <c r="J70"/>
      <c r="K70"/>
    </row>
    <row r="71" spans="1:8" ht="12.75" hidden="1">
      <c r="A71" s="84" t="s">
        <v>227</v>
      </c>
      <c r="B71" s="76" t="s">
        <v>122</v>
      </c>
      <c r="C71" s="58"/>
      <c r="D71" s="185"/>
      <c r="F71"/>
      <c r="H71" s="204"/>
    </row>
    <row r="72" spans="1:8" ht="12.75" hidden="1">
      <c r="A72" s="84" t="s">
        <v>228</v>
      </c>
      <c r="B72" s="76" t="s">
        <v>121</v>
      </c>
      <c r="C72" s="58"/>
      <c r="D72" s="185"/>
      <c r="F72"/>
      <c r="H72" s="204"/>
    </row>
    <row r="73" spans="1:8" ht="12.75" hidden="1">
      <c r="A73" s="84" t="s">
        <v>229</v>
      </c>
      <c r="B73" s="76" t="s">
        <v>120</v>
      </c>
      <c r="C73" s="58"/>
      <c r="D73" s="185"/>
      <c r="F73"/>
      <c r="H73" s="204"/>
    </row>
    <row r="74" spans="1:8" ht="12.75" hidden="1">
      <c r="A74" s="84" t="s">
        <v>230</v>
      </c>
      <c r="B74" s="76" t="s">
        <v>119</v>
      </c>
      <c r="C74" s="58"/>
      <c r="D74" s="185"/>
      <c r="F74"/>
      <c r="H74" s="204"/>
    </row>
    <row r="75" spans="1:8" ht="12.75" hidden="1">
      <c r="A75" s="84" t="s">
        <v>231</v>
      </c>
      <c r="B75" s="76" t="s">
        <v>118</v>
      </c>
      <c r="C75" s="58"/>
      <c r="D75" s="185"/>
      <c r="F75"/>
      <c r="H75" s="204"/>
    </row>
    <row r="76" spans="1:8" ht="12.75" hidden="1">
      <c r="A76" s="84" t="s">
        <v>232</v>
      </c>
      <c r="B76" s="76" t="s">
        <v>329</v>
      </c>
      <c r="C76" s="58"/>
      <c r="D76" s="185"/>
      <c r="F76"/>
      <c r="H76" s="204"/>
    </row>
    <row r="77" spans="1:8" ht="12.75" hidden="1">
      <c r="A77" s="84" t="s">
        <v>233</v>
      </c>
      <c r="B77" s="76" t="s">
        <v>117</v>
      </c>
      <c r="C77" s="58"/>
      <c r="D77" s="185"/>
      <c r="F77"/>
      <c r="H77" s="204"/>
    </row>
    <row r="78" spans="1:8" ht="12.75" hidden="1">
      <c r="A78" s="84" t="s">
        <v>234</v>
      </c>
      <c r="B78" s="76" t="s">
        <v>116</v>
      </c>
      <c r="C78" s="58"/>
      <c r="D78" s="185"/>
      <c r="F78"/>
      <c r="H78" s="204"/>
    </row>
    <row r="79" spans="1:8" ht="12.75" hidden="1">
      <c r="A79" s="84" t="s">
        <v>235</v>
      </c>
      <c r="B79" s="76" t="s">
        <v>115</v>
      </c>
      <c r="C79" s="58"/>
      <c r="D79" s="185"/>
      <c r="F79"/>
      <c r="H79" s="204"/>
    </row>
    <row r="80" spans="1:8" ht="12.75" hidden="1">
      <c r="A80" s="84" t="s">
        <v>236</v>
      </c>
      <c r="B80" s="76" t="s">
        <v>114</v>
      </c>
      <c r="C80" s="58"/>
      <c r="D80" s="185"/>
      <c r="F80"/>
      <c r="H80" s="204"/>
    </row>
    <row r="81" spans="1:8" ht="12.75" hidden="1">
      <c r="A81" s="84" t="s">
        <v>237</v>
      </c>
      <c r="B81" s="76" t="s">
        <v>113</v>
      </c>
      <c r="C81" s="58"/>
      <c r="D81" s="185"/>
      <c r="F81"/>
      <c r="H81" s="204"/>
    </row>
    <row r="82" spans="1:8" ht="12.75" hidden="1">
      <c r="A82" s="84" t="s">
        <v>238</v>
      </c>
      <c r="B82" s="76" t="s">
        <v>112</v>
      </c>
      <c r="C82" s="58"/>
      <c r="D82" s="185"/>
      <c r="F82"/>
      <c r="H82" s="204"/>
    </row>
    <row r="83" spans="1:8" ht="12.75" hidden="1">
      <c r="A83" s="84" t="s">
        <v>239</v>
      </c>
      <c r="B83" s="76" t="s">
        <v>111</v>
      </c>
      <c r="C83" s="58"/>
      <c r="D83" s="185"/>
      <c r="F83"/>
      <c r="H83" s="204"/>
    </row>
    <row r="84" spans="1:8" ht="13.5" hidden="1" thickBot="1">
      <c r="A84" s="85"/>
      <c r="B84" s="76" t="s">
        <v>110</v>
      </c>
      <c r="C84" s="58"/>
      <c r="D84" s="190"/>
      <c r="F84"/>
      <c r="H84" s="204"/>
    </row>
    <row r="85" spans="1:8" ht="13.5" hidden="1" thickBot="1">
      <c r="A85" s="83" t="s">
        <v>240</v>
      </c>
      <c r="B85" s="92" t="s">
        <v>109</v>
      </c>
      <c r="C85" s="237"/>
      <c r="D85" s="184">
        <f>SUM(D86:D91)</f>
        <v>0</v>
      </c>
      <c r="F85"/>
      <c r="H85" s="208">
        <f>SUM(H86:H91)</f>
        <v>0</v>
      </c>
    </row>
    <row r="86" spans="1:8" ht="12.75" hidden="1">
      <c r="A86" s="84" t="s">
        <v>241</v>
      </c>
      <c r="B86" s="76" t="s">
        <v>108</v>
      </c>
      <c r="C86" s="58"/>
      <c r="D86" s="185"/>
      <c r="F86"/>
      <c r="H86" s="204"/>
    </row>
    <row r="87" spans="1:8" ht="12.75" hidden="1">
      <c r="A87" s="84" t="s">
        <v>431</v>
      </c>
      <c r="B87" s="561" t="s">
        <v>432</v>
      </c>
      <c r="C87" s="562"/>
      <c r="D87" s="185"/>
      <c r="F87"/>
      <c r="H87" s="204"/>
    </row>
    <row r="88" spans="1:8" ht="12.75" hidden="1">
      <c r="A88" s="84" t="s">
        <v>242</v>
      </c>
      <c r="B88" s="76" t="s">
        <v>107</v>
      </c>
      <c r="C88" s="58"/>
      <c r="D88" s="185"/>
      <c r="F88"/>
      <c r="H88" s="204"/>
    </row>
    <row r="89" spans="1:8" ht="12.75" hidden="1">
      <c r="A89" s="84" t="s">
        <v>243</v>
      </c>
      <c r="B89" s="76" t="s">
        <v>106</v>
      </c>
      <c r="C89" s="58"/>
      <c r="D89" s="185"/>
      <c r="F89"/>
      <c r="H89" s="204"/>
    </row>
    <row r="90" spans="1:8" ht="12.75" hidden="1">
      <c r="A90" s="84" t="s">
        <v>244</v>
      </c>
      <c r="B90" s="64" t="s">
        <v>105</v>
      </c>
      <c r="C90" s="58"/>
      <c r="D90" s="185"/>
      <c r="F90"/>
      <c r="H90" s="204"/>
    </row>
    <row r="91" spans="1:8" ht="13.5" hidden="1" thickBot="1">
      <c r="A91" s="84"/>
      <c r="B91" s="78" t="s">
        <v>104</v>
      </c>
      <c r="C91" s="238"/>
      <c r="D91" s="187"/>
      <c r="F91"/>
      <c r="H91" s="200"/>
    </row>
    <row r="92" spans="1:8" ht="13.5" hidden="1" thickBot="1">
      <c r="A92" s="83" t="s">
        <v>245</v>
      </c>
      <c r="B92" s="92" t="s">
        <v>103</v>
      </c>
      <c r="C92" s="237"/>
      <c r="D92" s="184">
        <f>SUM(D93:D98)</f>
        <v>0</v>
      </c>
      <c r="F92"/>
      <c r="H92" s="203">
        <f>SUM(H93:H98)</f>
        <v>0</v>
      </c>
    </row>
    <row r="93" spans="1:8" ht="12.75" hidden="1">
      <c r="A93" s="84" t="s">
        <v>246</v>
      </c>
      <c r="B93" s="76" t="s">
        <v>102</v>
      </c>
      <c r="C93" s="58"/>
      <c r="D93" s="185"/>
      <c r="F93"/>
      <c r="H93" s="204"/>
    </row>
    <row r="94" spans="1:8" ht="12.75" hidden="1">
      <c r="A94" s="84" t="s">
        <v>247</v>
      </c>
      <c r="B94" s="76" t="s">
        <v>101</v>
      </c>
      <c r="C94" s="58"/>
      <c r="D94" s="185"/>
      <c r="F94"/>
      <c r="H94" s="204"/>
    </row>
    <row r="95" spans="1:8" ht="12.75" hidden="1">
      <c r="A95" s="84" t="s">
        <v>248</v>
      </c>
      <c r="B95" s="76" t="s">
        <v>100</v>
      </c>
      <c r="C95" s="58"/>
      <c r="D95" s="185"/>
      <c r="F95"/>
      <c r="H95" s="204"/>
    </row>
    <row r="96" spans="1:8" ht="12.75" hidden="1">
      <c r="A96" s="84" t="s">
        <v>249</v>
      </c>
      <c r="B96" s="76" t="s">
        <v>99</v>
      </c>
      <c r="C96" s="58"/>
      <c r="D96" s="185"/>
      <c r="F96"/>
      <c r="H96" s="204"/>
    </row>
    <row r="97" spans="1:8" ht="12.75" hidden="1">
      <c r="A97" s="84" t="s">
        <v>250</v>
      </c>
      <c r="B97" s="76" t="s">
        <v>98</v>
      </c>
      <c r="C97" s="58"/>
      <c r="D97" s="185"/>
      <c r="F97"/>
      <c r="H97" s="204"/>
    </row>
    <row r="98" spans="1:8" ht="13.5" hidden="1" thickBot="1">
      <c r="A98" s="84"/>
      <c r="B98" s="78" t="s">
        <v>97</v>
      </c>
      <c r="C98" s="239"/>
      <c r="D98" s="185"/>
      <c r="F98"/>
      <c r="H98" s="204"/>
    </row>
    <row r="99" spans="1:8" ht="13.5" hidden="1" thickBot="1">
      <c r="A99" s="83" t="s">
        <v>251</v>
      </c>
      <c r="B99" s="92" t="s">
        <v>96</v>
      </c>
      <c r="C99" s="237"/>
      <c r="D99" s="184">
        <f>SUM(D100:D105)</f>
        <v>0</v>
      </c>
      <c r="F99"/>
      <c r="H99" s="203">
        <f>SUM(H100:H105)</f>
        <v>0</v>
      </c>
    </row>
    <row r="100" spans="1:8" ht="12.75" hidden="1">
      <c r="A100" s="84" t="s">
        <v>252</v>
      </c>
      <c r="B100" s="76" t="s">
        <v>95</v>
      </c>
      <c r="C100" s="58"/>
      <c r="D100" s="185"/>
      <c r="F100"/>
      <c r="H100" s="204"/>
    </row>
    <row r="101" spans="1:8" ht="12.75" hidden="1">
      <c r="A101" s="84" t="s">
        <v>253</v>
      </c>
      <c r="B101" s="76" t="s">
        <v>94</v>
      </c>
      <c r="C101" s="58"/>
      <c r="D101" s="185"/>
      <c r="F101"/>
      <c r="H101" s="204"/>
    </row>
    <row r="102" spans="1:8" ht="12.75" hidden="1">
      <c r="A102" s="84" t="s">
        <v>254</v>
      </c>
      <c r="B102" s="76" t="s">
        <v>93</v>
      </c>
      <c r="C102" s="58"/>
      <c r="D102" s="185"/>
      <c r="F102"/>
      <c r="H102" s="204"/>
    </row>
    <row r="103" spans="1:8" ht="12.75" hidden="1">
      <c r="A103" s="84" t="s">
        <v>255</v>
      </c>
      <c r="B103" s="76" t="s">
        <v>92</v>
      </c>
      <c r="C103" s="58"/>
      <c r="D103" s="185"/>
      <c r="F103"/>
      <c r="H103" s="204"/>
    </row>
    <row r="104" spans="1:8" ht="12.75" hidden="1">
      <c r="A104" s="84" t="s">
        <v>256</v>
      </c>
      <c r="B104" s="76" t="s">
        <v>91</v>
      </c>
      <c r="C104" s="58"/>
      <c r="D104" s="185"/>
      <c r="F104"/>
      <c r="H104" s="204"/>
    </row>
    <row r="105" spans="1:8" ht="13.5" hidden="1" thickBot="1">
      <c r="A105" s="86"/>
      <c r="B105" s="78" t="s">
        <v>90</v>
      </c>
      <c r="C105" s="60"/>
      <c r="D105" s="187"/>
      <c r="F105"/>
      <c r="H105" s="200"/>
    </row>
    <row r="106" spans="1:8" ht="13.5" hidden="1" thickBot="1">
      <c r="A106" s="83" t="s">
        <v>257</v>
      </c>
      <c r="B106" s="92" t="s">
        <v>89</v>
      </c>
      <c r="C106" s="237"/>
      <c r="D106" s="184">
        <f>SUM(D107:D123)</f>
        <v>0</v>
      </c>
      <c r="F106"/>
      <c r="H106" s="184">
        <f>SUM(H107:H123)</f>
        <v>0</v>
      </c>
    </row>
    <row r="107" spans="1:8" ht="12.75" hidden="1">
      <c r="A107" s="243" t="s">
        <v>258</v>
      </c>
      <c r="B107" s="243" t="s">
        <v>433</v>
      </c>
      <c r="C107" s="58"/>
      <c r="D107" s="185"/>
      <c r="F107"/>
      <c r="H107" s="204"/>
    </row>
    <row r="108" spans="1:8" ht="12.75" hidden="1">
      <c r="A108" s="243" t="s">
        <v>259</v>
      </c>
      <c r="B108" s="561" t="s">
        <v>330</v>
      </c>
      <c r="C108" s="562"/>
      <c r="D108" s="185"/>
      <c r="F108"/>
      <c r="H108" s="204"/>
    </row>
    <row r="109" spans="1:8" ht="12.75" hidden="1">
      <c r="A109" s="243" t="s">
        <v>260</v>
      </c>
      <c r="B109" s="561" t="s">
        <v>88</v>
      </c>
      <c r="C109" s="562"/>
      <c r="D109" s="185"/>
      <c r="F109"/>
      <c r="H109" s="204"/>
    </row>
    <row r="110" spans="1:8" ht="12.75" hidden="1">
      <c r="A110" s="243" t="s">
        <v>261</v>
      </c>
      <c r="B110" s="561" t="s">
        <v>434</v>
      </c>
      <c r="C110" s="562"/>
      <c r="D110" s="185"/>
      <c r="F110"/>
      <c r="H110" s="204"/>
    </row>
    <row r="111" spans="1:8" ht="12.75" hidden="1">
      <c r="A111" s="243" t="s">
        <v>262</v>
      </c>
      <c r="B111" s="561" t="s">
        <v>87</v>
      </c>
      <c r="C111" s="562"/>
      <c r="D111" s="185"/>
      <c r="F111"/>
      <c r="H111" s="204"/>
    </row>
    <row r="112" spans="1:8" ht="12.75" hidden="1">
      <c r="A112" s="243" t="s">
        <v>263</v>
      </c>
      <c r="B112" s="561" t="s">
        <v>435</v>
      </c>
      <c r="C112" s="562"/>
      <c r="D112" s="185"/>
      <c r="F112"/>
      <c r="H112" s="204"/>
    </row>
    <row r="113" spans="1:8" ht="12.75" hidden="1">
      <c r="A113" s="243" t="s">
        <v>264</v>
      </c>
      <c r="B113" s="561" t="s">
        <v>86</v>
      </c>
      <c r="C113" s="562"/>
      <c r="D113" s="185"/>
      <c r="F113"/>
      <c r="H113" s="204"/>
    </row>
    <row r="114" spans="1:8" ht="12.75" hidden="1">
      <c r="A114" s="243" t="s">
        <v>383</v>
      </c>
      <c r="B114" s="561" t="s">
        <v>85</v>
      </c>
      <c r="C114" s="562"/>
      <c r="D114" s="185"/>
      <c r="F114"/>
      <c r="H114" s="204"/>
    </row>
    <row r="115" spans="1:8" ht="12.75" hidden="1">
      <c r="A115" s="243" t="s">
        <v>384</v>
      </c>
      <c r="B115" s="561" t="s">
        <v>436</v>
      </c>
      <c r="C115" s="562"/>
      <c r="D115" s="185"/>
      <c r="F115"/>
      <c r="H115" s="204"/>
    </row>
    <row r="116" spans="1:8" ht="12.75" hidden="1">
      <c r="A116" s="243" t="s">
        <v>385</v>
      </c>
      <c r="B116" s="561" t="s">
        <v>437</v>
      </c>
      <c r="C116" s="562"/>
      <c r="D116" s="185"/>
      <c r="F116"/>
      <c r="H116" s="204"/>
    </row>
    <row r="117" spans="1:8" ht="12.75" hidden="1">
      <c r="A117" s="243" t="s">
        <v>265</v>
      </c>
      <c r="B117" s="561" t="s">
        <v>84</v>
      </c>
      <c r="C117" s="562"/>
      <c r="D117" s="185"/>
      <c r="F117"/>
      <c r="H117" s="204"/>
    </row>
    <row r="118" spans="1:8" ht="12.75" hidden="1">
      <c r="A118" s="243" t="s">
        <v>266</v>
      </c>
      <c r="B118" s="561" t="s">
        <v>83</v>
      </c>
      <c r="C118" s="562"/>
      <c r="D118" s="185"/>
      <c r="F118"/>
      <c r="H118" s="204"/>
    </row>
    <row r="119" spans="1:8" ht="12.75" hidden="1">
      <c r="A119" s="243" t="s">
        <v>267</v>
      </c>
      <c r="B119" s="561" t="s">
        <v>82</v>
      </c>
      <c r="C119" s="562"/>
      <c r="D119" s="185"/>
      <c r="F119"/>
      <c r="H119" s="204"/>
    </row>
    <row r="120" spans="1:8" ht="12.75" hidden="1">
      <c r="A120" s="243" t="s">
        <v>268</v>
      </c>
      <c r="B120" s="561" t="s">
        <v>81</v>
      </c>
      <c r="C120" s="562"/>
      <c r="D120" s="185"/>
      <c r="F120"/>
      <c r="H120" s="204"/>
    </row>
    <row r="121" spans="1:8" ht="12.75" hidden="1">
      <c r="A121" s="243" t="s">
        <v>269</v>
      </c>
      <c r="B121" s="561" t="s">
        <v>80</v>
      </c>
      <c r="C121" s="562"/>
      <c r="D121" s="185"/>
      <c r="F121"/>
      <c r="H121" s="204"/>
    </row>
    <row r="122" spans="1:8" ht="12.75" hidden="1">
      <c r="A122" s="243" t="s">
        <v>270</v>
      </c>
      <c r="B122" s="561" t="s">
        <v>79</v>
      </c>
      <c r="C122" s="562"/>
      <c r="D122" s="185"/>
      <c r="F122"/>
      <c r="H122" s="204"/>
    </row>
    <row r="123" spans="1:8" ht="13.5" hidden="1" thickBot="1">
      <c r="A123" s="84"/>
      <c r="B123" s="561" t="s">
        <v>78</v>
      </c>
      <c r="C123" s="562"/>
      <c r="D123" s="185"/>
      <c r="F123"/>
      <c r="H123" s="204"/>
    </row>
    <row r="124" spans="1:8" ht="13.5" hidden="1" thickBot="1">
      <c r="A124" s="83" t="s">
        <v>271</v>
      </c>
      <c r="B124" s="92" t="s">
        <v>400</v>
      </c>
      <c r="C124" s="237"/>
      <c r="D124" s="184">
        <f>SUM(D125:D136)</f>
        <v>0</v>
      </c>
      <c r="F124"/>
      <c r="H124" s="208">
        <f>SUM(H125:H136)</f>
        <v>0</v>
      </c>
    </row>
    <row r="125" spans="1:8" ht="12.75" hidden="1">
      <c r="A125" s="243" t="s">
        <v>272</v>
      </c>
      <c r="B125" s="244" t="s">
        <v>362</v>
      </c>
      <c r="C125" s="58"/>
      <c r="D125" s="185"/>
      <c r="F125"/>
      <c r="H125" s="204"/>
    </row>
    <row r="126" spans="1:8" ht="15.75" customHeight="1" hidden="1">
      <c r="A126" s="243" t="s">
        <v>396</v>
      </c>
      <c r="B126" s="244" t="s">
        <v>397</v>
      </c>
      <c r="C126" s="240"/>
      <c r="D126" s="185"/>
      <c r="F126"/>
      <c r="H126" s="204"/>
    </row>
    <row r="127" spans="1:8" ht="24.75" customHeight="1" hidden="1">
      <c r="A127" s="243" t="s">
        <v>398</v>
      </c>
      <c r="B127" s="244" t="s">
        <v>76</v>
      </c>
      <c r="C127" s="240"/>
      <c r="D127" s="185"/>
      <c r="F127"/>
      <c r="H127" s="204"/>
    </row>
    <row r="128" spans="1:8" ht="12.75" hidden="1">
      <c r="A128" s="243" t="s">
        <v>273</v>
      </c>
      <c r="B128" s="244" t="s">
        <v>75</v>
      </c>
      <c r="C128" s="240"/>
      <c r="D128" s="185"/>
      <c r="F128"/>
      <c r="H128" s="204"/>
    </row>
    <row r="129" spans="1:8" ht="12.75" hidden="1">
      <c r="A129" s="243" t="s">
        <v>274</v>
      </c>
      <c r="B129" s="561" t="s">
        <v>438</v>
      </c>
      <c r="C129" s="562"/>
      <c r="D129" s="185"/>
      <c r="F129"/>
      <c r="H129" s="204"/>
    </row>
    <row r="130" spans="1:8" ht="12.75" hidden="1">
      <c r="A130" s="243" t="s">
        <v>439</v>
      </c>
      <c r="B130" s="561" t="s">
        <v>440</v>
      </c>
      <c r="C130" s="562"/>
      <c r="D130" s="185"/>
      <c r="F130"/>
      <c r="H130" s="204"/>
    </row>
    <row r="131" spans="1:8" ht="12.75" hidden="1">
      <c r="A131" s="243" t="s">
        <v>275</v>
      </c>
      <c r="B131" s="244" t="s">
        <v>377</v>
      </c>
      <c r="C131" s="58"/>
      <c r="D131" s="185"/>
      <c r="F131"/>
      <c r="H131" s="204"/>
    </row>
    <row r="132" spans="1:8" ht="12.75" hidden="1">
      <c r="A132" s="243" t="s">
        <v>276</v>
      </c>
      <c r="B132" s="244" t="s">
        <v>378</v>
      </c>
      <c r="C132" s="58"/>
      <c r="D132" s="185"/>
      <c r="F132"/>
      <c r="H132" s="204"/>
    </row>
    <row r="133" spans="1:8" ht="12.75" hidden="1">
      <c r="A133" s="243" t="s">
        <v>381</v>
      </c>
      <c r="B133" s="244" t="s">
        <v>379</v>
      </c>
      <c r="C133" s="58"/>
      <c r="D133" s="185"/>
      <c r="F133"/>
      <c r="H133" s="204"/>
    </row>
    <row r="134" spans="1:8" ht="12.75" hidden="1">
      <c r="A134" s="243" t="s">
        <v>382</v>
      </c>
      <c r="B134" s="244" t="s">
        <v>380</v>
      </c>
      <c r="C134" s="58"/>
      <c r="D134" s="185"/>
      <c r="F134"/>
      <c r="H134" s="204"/>
    </row>
    <row r="135" spans="1:8" ht="12.75" hidden="1">
      <c r="A135" s="243" t="s">
        <v>277</v>
      </c>
      <c r="B135" s="244" t="s">
        <v>74</v>
      </c>
      <c r="C135" s="58"/>
      <c r="D135" s="185"/>
      <c r="F135"/>
      <c r="H135" s="204"/>
    </row>
    <row r="136" spans="1:8" ht="13.5" hidden="1" thickBot="1">
      <c r="A136" s="243"/>
      <c r="B136" s="244" t="s">
        <v>73</v>
      </c>
      <c r="C136" s="58"/>
      <c r="D136" s="185"/>
      <c r="F136"/>
      <c r="H136" s="204"/>
    </row>
    <row r="137" spans="1:8" ht="13.5" hidden="1" thickBot="1">
      <c r="A137" s="83" t="s">
        <v>278</v>
      </c>
      <c r="B137" s="92" t="s">
        <v>72</v>
      </c>
      <c r="C137" s="237"/>
      <c r="D137" s="184">
        <f>SUM(D138:D152)</f>
        <v>0</v>
      </c>
      <c r="F137"/>
      <c r="H137" s="203">
        <f>SUM(H138:H152)</f>
        <v>0</v>
      </c>
    </row>
    <row r="138" spans="1:8" ht="12.75" hidden="1">
      <c r="A138" s="84" t="s">
        <v>279</v>
      </c>
      <c r="B138" s="93" t="s">
        <v>71</v>
      </c>
      <c r="C138" s="240"/>
      <c r="D138" s="185"/>
      <c r="F138"/>
      <c r="H138" s="204"/>
    </row>
    <row r="139" spans="1:8" ht="12.75" hidden="1">
      <c r="A139" s="84" t="s">
        <v>280</v>
      </c>
      <c r="B139" s="76" t="s">
        <v>70</v>
      </c>
      <c r="C139" s="58"/>
      <c r="D139" s="185"/>
      <c r="F139"/>
      <c r="H139" s="204"/>
    </row>
    <row r="140" spans="1:8" ht="12.75" hidden="1">
      <c r="A140" s="84" t="s">
        <v>281</v>
      </c>
      <c r="B140" s="76" t="s">
        <v>69</v>
      </c>
      <c r="C140" s="58"/>
      <c r="D140" s="185"/>
      <c r="F140"/>
      <c r="H140" s="204"/>
    </row>
    <row r="141" spans="1:8" ht="12.75" hidden="1">
      <c r="A141" s="84" t="s">
        <v>282</v>
      </c>
      <c r="B141" s="76" t="s">
        <v>68</v>
      </c>
      <c r="C141" s="58"/>
      <c r="D141" s="185"/>
      <c r="F141"/>
      <c r="H141" s="204"/>
    </row>
    <row r="142" spans="1:8" ht="12.75" hidden="1">
      <c r="A142" s="84" t="s">
        <v>283</v>
      </c>
      <c r="B142" s="76" t="s">
        <v>67</v>
      </c>
      <c r="C142" s="58"/>
      <c r="D142" s="185"/>
      <c r="F142"/>
      <c r="H142" s="204"/>
    </row>
    <row r="143" spans="1:8" ht="12.75" hidden="1">
      <c r="A143" s="84" t="s">
        <v>284</v>
      </c>
      <c r="B143" s="93" t="s">
        <v>66</v>
      </c>
      <c r="C143" s="240"/>
      <c r="D143" s="185"/>
      <c r="F143"/>
      <c r="H143" s="204"/>
    </row>
    <row r="144" spans="1:8" ht="12.75" hidden="1">
      <c r="A144" s="84" t="s">
        <v>285</v>
      </c>
      <c r="B144" s="76" t="s">
        <v>65</v>
      </c>
      <c r="C144" s="58"/>
      <c r="D144" s="185"/>
      <c r="F144"/>
      <c r="H144" s="204"/>
    </row>
    <row r="145" spans="1:8" ht="12.75" hidden="1">
      <c r="A145" s="84" t="s">
        <v>286</v>
      </c>
      <c r="B145" s="76" t="s">
        <v>64</v>
      </c>
      <c r="C145" s="63"/>
      <c r="D145" s="185"/>
      <c r="F145"/>
      <c r="H145" s="204"/>
    </row>
    <row r="146" spans="1:8" ht="12.75" hidden="1">
      <c r="A146" s="84" t="s">
        <v>287</v>
      </c>
      <c r="B146" s="76" t="s">
        <v>63</v>
      </c>
      <c r="C146" s="63"/>
      <c r="D146" s="185"/>
      <c r="F146"/>
      <c r="H146" s="204"/>
    </row>
    <row r="147" spans="1:8" ht="12.75" hidden="1">
      <c r="A147" s="84" t="s">
        <v>288</v>
      </c>
      <c r="B147" s="76" t="s">
        <v>62</v>
      </c>
      <c r="C147" s="63"/>
      <c r="D147" s="185"/>
      <c r="F147"/>
      <c r="H147" s="204"/>
    </row>
    <row r="148" spans="1:8" ht="12.75" hidden="1">
      <c r="A148" s="84" t="s">
        <v>289</v>
      </c>
      <c r="B148" s="76" t="s">
        <v>61</v>
      </c>
      <c r="C148" s="63"/>
      <c r="D148" s="185"/>
      <c r="F148"/>
      <c r="H148" s="204"/>
    </row>
    <row r="149" spans="1:8" ht="12.75" hidden="1">
      <c r="A149" s="84" t="s">
        <v>290</v>
      </c>
      <c r="B149" s="89" t="s">
        <v>60</v>
      </c>
      <c r="C149" s="63"/>
      <c r="D149" s="186"/>
      <c r="F149"/>
      <c r="H149" s="206"/>
    </row>
    <row r="150" spans="1:8" ht="12.75" hidden="1">
      <c r="A150" s="84" t="s">
        <v>291</v>
      </c>
      <c r="B150" s="76" t="s">
        <v>59</v>
      </c>
      <c r="C150" s="63"/>
      <c r="D150" s="185"/>
      <c r="F150"/>
      <c r="H150" s="204"/>
    </row>
    <row r="151" spans="1:8" ht="12.75" hidden="1">
      <c r="A151" s="84" t="s">
        <v>292</v>
      </c>
      <c r="B151" s="76" t="s">
        <v>58</v>
      </c>
      <c r="C151" s="63"/>
      <c r="D151" s="185"/>
      <c r="F151"/>
      <c r="H151" s="204"/>
    </row>
    <row r="152" spans="1:8" ht="13.5" hidden="1" thickBot="1">
      <c r="A152" s="87"/>
      <c r="B152" s="76" t="s">
        <v>57</v>
      </c>
      <c r="C152" s="63"/>
      <c r="D152" s="185"/>
      <c r="F152"/>
      <c r="H152" s="204"/>
    </row>
    <row r="153" spans="1:8" ht="13.5" hidden="1" thickBot="1">
      <c r="A153" s="88"/>
      <c r="B153" s="94"/>
      <c r="C153" s="66"/>
      <c r="D153" s="191"/>
      <c r="F153" s="553"/>
      <c r="H153" s="250"/>
    </row>
    <row r="154" spans="1:8" ht="21.75" thickBot="1">
      <c r="A154" s="74"/>
      <c r="B154" s="39" t="s">
        <v>56</v>
      </c>
      <c r="C154" s="39"/>
      <c r="D154" s="38" t="s">
        <v>55</v>
      </c>
      <c r="F154" s="554"/>
      <c r="H154" s="38" t="s">
        <v>55</v>
      </c>
    </row>
    <row r="155" spans="1:8" ht="13.5" thickBot="1">
      <c r="A155" s="79"/>
      <c r="B155" s="251"/>
      <c r="C155" s="251"/>
      <c r="D155" s="252"/>
      <c r="F155" s="253"/>
      <c r="H155" s="254"/>
    </row>
    <row r="156" spans="1:9" ht="12.75">
      <c r="A156" s="79"/>
      <c r="B156" s="51" t="s">
        <v>54</v>
      </c>
      <c r="C156" s="67"/>
      <c r="D156" s="227">
        <f>H156+D49</f>
        <v>14396499.11</v>
      </c>
      <c r="E156" s="227" t="e">
        <f>I156+E49</f>
        <v>#VALUE!</v>
      </c>
      <c r="F156" s="227">
        <f>J156+F49</f>
        <v>0</v>
      </c>
      <c r="G156" s="227">
        <f>K156+G49</f>
        <v>0</v>
      </c>
      <c r="H156" s="227">
        <v>12378946.11</v>
      </c>
      <c r="I156" s="230" t="s">
        <v>389</v>
      </c>
    </row>
    <row r="157" spans="1:9" ht="19.5">
      <c r="A157" s="79"/>
      <c r="B157" s="37"/>
      <c r="C157" s="11" t="s">
        <v>373</v>
      </c>
      <c r="D157" s="171"/>
      <c r="F157" s="35"/>
      <c r="H157" s="167"/>
      <c r="I157" s="230" t="s">
        <v>390</v>
      </c>
    </row>
    <row r="158" spans="1:9" ht="13.5" thickBot="1">
      <c r="A158" s="77"/>
      <c r="B158" s="68" t="s">
        <v>305</v>
      </c>
      <c r="C158" s="69"/>
      <c r="D158" s="228">
        <f>H158+D52</f>
        <v>715591</v>
      </c>
      <c r="E158" s="228" t="e">
        <f>I158+E52</f>
        <v>#VALUE!</v>
      </c>
      <c r="F158" s="228">
        <f>J158+F52</f>
        <v>0</v>
      </c>
      <c r="G158" s="228">
        <f>K158+G52</f>
        <v>0</v>
      </c>
      <c r="H158" s="228">
        <f>L158+H52</f>
        <v>710591</v>
      </c>
      <c r="I158" s="230" t="s">
        <v>391</v>
      </c>
    </row>
    <row r="159" spans="1:8" ht="12.75">
      <c r="A159" s="90" t="s">
        <v>53</v>
      </c>
      <c r="B159" s="70"/>
      <c r="D159" s="192"/>
      <c r="F159" s="35"/>
      <c r="H159" s="192"/>
    </row>
    <row r="160" spans="1:8" ht="12.75">
      <c r="A160" s="90" t="s">
        <v>52</v>
      </c>
      <c r="B160" s="70"/>
      <c r="D160" s="192"/>
      <c r="F160" s="35"/>
      <c r="H160" s="192"/>
    </row>
    <row r="161" spans="1:8" ht="12.75">
      <c r="A161" s="109" t="s">
        <v>47</v>
      </c>
      <c r="B161" s="36"/>
      <c r="D161" s="193">
        <f>IF(D156-D158&lt;0,0,D156-D158)/D6</f>
        <v>0.6498792392661374</v>
      </c>
      <c r="F161" s="109"/>
      <c r="H161" s="193">
        <f>IF(H156-H158&lt;0,0,H156-H158)/H6</f>
        <v>0.5624856469412987</v>
      </c>
    </row>
    <row r="162" spans="1:11" s="71" customFormat="1" ht="12.75">
      <c r="A162" s="145" t="s">
        <v>178</v>
      </c>
      <c r="D162" s="212">
        <f>D48+D49-D52+D53</f>
        <v>0</v>
      </c>
      <c r="E162"/>
      <c r="H162" s="212">
        <f>H48+H49-H52+H53</f>
        <v>2.5320332497358322E-09</v>
      </c>
      <c r="I162"/>
      <c r="J162"/>
      <c r="K162"/>
    </row>
    <row r="163" spans="1:11" s="71" customFormat="1" ht="12.75">
      <c r="A163" s="213"/>
      <c r="B163"/>
      <c r="C163"/>
      <c r="D163" s="211"/>
      <c r="E163"/>
      <c r="H163" s="216"/>
      <c r="I163"/>
      <c r="J163"/>
      <c r="K163"/>
    </row>
    <row r="164" spans="1:11" s="273" customFormat="1" ht="12.75">
      <c r="A164" s="267" t="s">
        <v>360</v>
      </c>
      <c r="B164" s="268"/>
      <c r="C164" s="269"/>
      <c r="D164" s="270">
        <f>+J52</f>
        <v>0</v>
      </c>
      <c r="E164" s="271"/>
      <c r="F164" s="272"/>
      <c r="G164" s="272"/>
      <c r="H164" s="270" t="str">
        <f>IF(ROUND(SUM(-H24-H37-H39-H41-H43-H45-H47),2)=ROUND(H55,2),"OK",CONCATENATE("Vahe=",ROUND(SUM(-H24-H37-H39-H41-H43-H45-H47)-H55,2)))</f>
        <v>Vahe=29461551,11</v>
      </c>
      <c r="I164" s="271"/>
      <c r="J164"/>
      <c r="K164" s="271"/>
    </row>
    <row r="165" spans="1:11" s="71" customFormat="1" ht="12.75">
      <c r="A165" s="214"/>
      <c r="B165"/>
      <c r="C165"/>
      <c r="D165" s="215"/>
      <c r="E165"/>
      <c r="H165" s="95"/>
      <c r="I165"/>
      <c r="J165"/>
      <c r="K165"/>
    </row>
    <row r="166" spans="1:11" s="71" customFormat="1" ht="12.75">
      <c r="A166" s="99"/>
      <c r="B166"/>
      <c r="C166"/>
      <c r="D166" s="217"/>
      <c r="E166"/>
      <c r="F166"/>
      <c r="G166" s="210"/>
      <c r="H166" s="210"/>
      <c r="I166"/>
      <c r="J166"/>
      <c r="K166"/>
    </row>
    <row r="167" spans="1:8" ht="12.75">
      <c r="A167"/>
      <c r="B167"/>
      <c r="C167"/>
      <c r="D167"/>
      <c r="F167" s="35"/>
      <c r="H167"/>
    </row>
    <row r="168" spans="1:8" ht="12.75">
      <c r="A168"/>
      <c r="B168"/>
      <c r="C168"/>
      <c r="D168"/>
      <c r="F168" s="34"/>
      <c r="H168"/>
    </row>
    <row r="169" spans="1:8" ht="12.75">
      <c r="A169"/>
      <c r="B169"/>
      <c r="C169"/>
      <c r="D169"/>
      <c r="F169" s="35"/>
      <c r="H169"/>
    </row>
    <row r="170" spans="1:11" s="71" customFormat="1" ht="12.75">
      <c r="A170"/>
      <c r="B170"/>
      <c r="C170"/>
      <c r="D170"/>
      <c r="E170"/>
      <c r="H170"/>
      <c r="I170"/>
      <c r="J170"/>
      <c r="K170"/>
    </row>
    <row r="171" spans="1:11" s="71" customFormat="1" ht="12.75">
      <c r="A171"/>
      <c r="B171"/>
      <c r="C171"/>
      <c r="D171"/>
      <c r="E171"/>
      <c r="H171"/>
      <c r="I171"/>
      <c r="J171"/>
      <c r="K171"/>
    </row>
    <row r="172" spans="1:11" s="71" customFormat="1" ht="12.75">
      <c r="A172"/>
      <c r="B172"/>
      <c r="C172"/>
      <c r="D172"/>
      <c r="E172"/>
      <c r="F172" s="109"/>
      <c r="H172"/>
      <c r="I172"/>
      <c r="J172"/>
      <c r="K172"/>
    </row>
    <row r="173" spans="1:11" s="71" customFormat="1" ht="12.75">
      <c r="A173"/>
      <c r="B173"/>
      <c r="C173"/>
      <c r="D173"/>
      <c r="E173"/>
      <c r="H173"/>
      <c r="I173"/>
      <c r="J173"/>
      <c r="K173"/>
    </row>
    <row r="174" spans="1:11" s="71" customFormat="1" ht="12.75">
      <c r="A174"/>
      <c r="B174"/>
      <c r="C174"/>
      <c r="D174"/>
      <c r="E174"/>
      <c r="H174"/>
      <c r="I174"/>
      <c r="J174"/>
      <c r="K174"/>
    </row>
    <row r="175" spans="1:11" s="71" customFormat="1" ht="12.75">
      <c r="A175" s="145"/>
      <c r="D175" s="110"/>
      <c r="E175"/>
      <c r="F175" s="95"/>
      <c r="I175"/>
      <c r="J175"/>
      <c r="K175"/>
    </row>
    <row r="176" spans="1:11" s="71" customFormat="1" ht="12.75">
      <c r="A176" s="145"/>
      <c r="D176" s="110"/>
      <c r="E176"/>
      <c r="F176" s="95"/>
      <c r="I176"/>
      <c r="J176"/>
      <c r="K176"/>
    </row>
    <row r="177" spans="1:11" s="71" customFormat="1" ht="12.75">
      <c r="A177" s="145"/>
      <c r="D177" s="110"/>
      <c r="E177"/>
      <c r="F177" s="95"/>
      <c r="I177"/>
      <c r="J177"/>
      <c r="K177"/>
    </row>
    <row r="178" spans="1:11" s="71" customFormat="1" ht="12.75">
      <c r="A178" s="145"/>
      <c r="D178" s="110"/>
      <c r="E178"/>
      <c r="F178" s="95"/>
      <c r="I178"/>
      <c r="J178"/>
      <c r="K178"/>
    </row>
    <row r="179" spans="1:11" s="71" customFormat="1" ht="12.75">
      <c r="A179" s="145"/>
      <c r="D179" s="110"/>
      <c r="E179"/>
      <c r="F179" s="95"/>
      <c r="I179"/>
      <c r="J179"/>
      <c r="K179"/>
    </row>
    <row r="180" spans="1:11" s="71" customFormat="1" ht="12.75">
      <c r="A180" s="145"/>
      <c r="D180" s="110"/>
      <c r="E180"/>
      <c r="F180" s="95"/>
      <c r="I180"/>
      <c r="J180"/>
      <c r="K180"/>
    </row>
    <row r="181" spans="1:11" s="71" customFormat="1" ht="12.75">
      <c r="A181" s="145"/>
      <c r="D181" s="110"/>
      <c r="E181"/>
      <c r="F181" s="95"/>
      <c r="I181"/>
      <c r="J181"/>
      <c r="K181"/>
    </row>
    <row r="182" spans="1:11" s="71" customFormat="1" ht="12.75">
      <c r="A182" s="145"/>
      <c r="D182" s="110"/>
      <c r="E182"/>
      <c r="F182" s="95"/>
      <c r="I182"/>
      <c r="J182"/>
      <c r="K182"/>
    </row>
    <row r="183" spans="1:11" s="71" customFormat="1" ht="12.75">
      <c r="A183" s="145"/>
      <c r="D183" s="110"/>
      <c r="E183"/>
      <c r="F183" s="95"/>
      <c r="I183"/>
      <c r="J183"/>
      <c r="K183"/>
    </row>
    <row r="184" spans="1:11" s="71" customFormat="1" ht="12.75">
      <c r="A184" s="145"/>
      <c r="E184"/>
      <c r="F184" s="95"/>
      <c r="I184"/>
      <c r="J184"/>
      <c r="K184"/>
    </row>
    <row r="185" spans="1:11" s="71" customFormat="1" ht="12.75">
      <c r="A185" s="145"/>
      <c r="E185"/>
      <c r="F185" s="95"/>
      <c r="I185"/>
      <c r="J185"/>
      <c r="K185"/>
    </row>
    <row r="186" spans="1:11" s="71" customFormat="1" ht="12.75">
      <c r="A186" s="145"/>
      <c r="E186"/>
      <c r="F186" s="95"/>
      <c r="I186"/>
      <c r="J186"/>
      <c r="K186"/>
    </row>
    <row r="187" spans="1:11" s="71" customFormat="1" ht="12.75">
      <c r="A187" s="145"/>
      <c r="E187"/>
      <c r="F187" s="95"/>
      <c r="I187"/>
      <c r="J187"/>
      <c r="K187"/>
    </row>
    <row r="188" spans="1:11" s="71" customFormat="1" ht="12.75">
      <c r="A188" s="145"/>
      <c r="E188"/>
      <c r="F188" s="95"/>
      <c r="I188"/>
      <c r="J188"/>
      <c r="K188"/>
    </row>
    <row r="189" spans="1:11" s="71" customFormat="1" ht="12.75">
      <c r="A189" s="145"/>
      <c r="E189"/>
      <c r="F189" s="95"/>
      <c r="I189"/>
      <c r="J189"/>
      <c r="K189"/>
    </row>
    <row r="190" spans="1:11" s="71" customFormat="1" ht="12.75">
      <c r="A190" s="145"/>
      <c r="E190"/>
      <c r="F190" s="95"/>
      <c r="I190"/>
      <c r="J190"/>
      <c r="K190"/>
    </row>
    <row r="191" spans="1:11" s="71" customFormat="1" ht="12.75">
      <c r="A191" s="145"/>
      <c r="E191"/>
      <c r="F191" s="95"/>
      <c r="I191"/>
      <c r="J191"/>
      <c r="K191"/>
    </row>
    <row r="192" spans="1:11" s="71" customFormat="1" ht="12.75">
      <c r="A192" s="145"/>
      <c r="E192"/>
      <c r="F192" s="95"/>
      <c r="I192"/>
      <c r="J192"/>
      <c r="K192"/>
    </row>
    <row r="193" spans="1:11" s="71" customFormat="1" ht="12.75">
      <c r="A193" s="145"/>
      <c r="E193"/>
      <c r="F193" s="95"/>
      <c r="I193"/>
      <c r="J193"/>
      <c r="K193"/>
    </row>
    <row r="194" spans="1:11" s="71" customFormat="1" ht="12.75">
      <c r="A194" s="145"/>
      <c r="E194"/>
      <c r="F194" s="95"/>
      <c r="I194"/>
      <c r="J194"/>
      <c r="K194"/>
    </row>
    <row r="195" spans="1:11" s="71" customFormat="1" ht="12.75">
      <c r="A195" s="145"/>
      <c r="E195"/>
      <c r="F195" s="95"/>
      <c r="I195"/>
      <c r="J195"/>
      <c r="K195"/>
    </row>
    <row r="196" spans="1:11" s="71" customFormat="1" ht="12.75">
      <c r="A196" s="145"/>
      <c r="E196"/>
      <c r="F196" s="95"/>
      <c r="I196"/>
      <c r="J196"/>
      <c r="K196"/>
    </row>
    <row r="197" spans="1:11" s="71" customFormat="1" ht="12.75">
      <c r="A197" s="145"/>
      <c r="E197"/>
      <c r="F197" s="95"/>
      <c r="I197"/>
      <c r="J197"/>
      <c r="K197"/>
    </row>
    <row r="198" spans="1:11" s="71" customFormat="1" ht="12.75">
      <c r="A198" s="145"/>
      <c r="E198"/>
      <c r="F198" s="95"/>
      <c r="I198"/>
      <c r="J198"/>
      <c r="K198"/>
    </row>
    <row r="199" spans="1:11" s="71" customFormat="1" ht="12.75">
      <c r="A199" s="145"/>
      <c r="E199"/>
      <c r="F199" s="95"/>
      <c r="I199"/>
      <c r="J199"/>
      <c r="K199"/>
    </row>
    <row r="200" spans="1:11" s="71" customFormat="1" ht="12.75">
      <c r="A200" s="145"/>
      <c r="E200"/>
      <c r="F200" s="95"/>
      <c r="I200"/>
      <c r="J200"/>
      <c r="K200"/>
    </row>
    <row r="201" spans="1:11" s="71" customFormat="1" ht="12.75">
      <c r="A201" s="145"/>
      <c r="E201"/>
      <c r="F201" s="95"/>
      <c r="I201"/>
      <c r="J201"/>
      <c r="K201"/>
    </row>
    <row r="202" spans="1:11" s="71" customFormat="1" ht="12.75">
      <c r="A202" s="145"/>
      <c r="E202"/>
      <c r="F202" s="95"/>
      <c r="I202"/>
      <c r="J202"/>
      <c r="K202"/>
    </row>
    <row r="203" spans="1:11" s="71" customFormat="1" ht="12.75">
      <c r="A203" s="145"/>
      <c r="E203"/>
      <c r="F203" s="95"/>
      <c r="I203"/>
      <c r="J203"/>
      <c r="K203"/>
    </row>
    <row r="204" spans="1:11" s="71" customFormat="1" ht="12.75">
      <c r="A204" s="145"/>
      <c r="E204"/>
      <c r="F204" s="95"/>
      <c r="I204"/>
      <c r="J204"/>
      <c r="K204"/>
    </row>
    <row r="205" spans="1:11" s="71" customFormat="1" ht="12.75">
      <c r="A205" s="145"/>
      <c r="E205"/>
      <c r="F205" s="95"/>
      <c r="I205"/>
      <c r="J205"/>
      <c r="K205"/>
    </row>
    <row r="206" spans="1:11" s="71" customFormat="1" ht="12.75">
      <c r="A206" s="145"/>
      <c r="E206"/>
      <c r="F206" s="95"/>
      <c r="I206"/>
      <c r="J206"/>
      <c r="K206"/>
    </row>
    <row r="207" spans="1:11" s="71" customFormat="1" ht="12.75">
      <c r="A207" s="145"/>
      <c r="E207"/>
      <c r="F207" s="95"/>
      <c r="I207"/>
      <c r="J207"/>
      <c r="K207"/>
    </row>
    <row r="208" spans="1:11" s="71" customFormat="1" ht="12.75">
      <c r="A208" s="145"/>
      <c r="E208"/>
      <c r="F208" s="95"/>
      <c r="I208"/>
      <c r="J208"/>
      <c r="K208"/>
    </row>
    <row r="209" spans="1:11" s="71" customFormat="1" ht="12.75">
      <c r="A209" s="145"/>
      <c r="E209"/>
      <c r="F209" s="95"/>
      <c r="I209"/>
      <c r="J209"/>
      <c r="K209"/>
    </row>
    <row r="210" spans="1:11" s="71" customFormat="1" ht="12.75">
      <c r="A210" s="145"/>
      <c r="E210"/>
      <c r="F210" s="95"/>
      <c r="I210"/>
      <c r="J210"/>
      <c r="K210"/>
    </row>
    <row r="211" spans="1:11" s="71" customFormat="1" ht="12.75">
      <c r="A211" s="145"/>
      <c r="E211"/>
      <c r="F211" s="95"/>
      <c r="I211"/>
      <c r="J211"/>
      <c r="K211"/>
    </row>
    <row r="212" spans="1:11" s="71" customFormat="1" ht="12.75">
      <c r="A212" s="145"/>
      <c r="E212"/>
      <c r="F212" s="95"/>
      <c r="I212"/>
      <c r="J212"/>
      <c r="K212"/>
    </row>
    <row r="213" spans="1:11" s="71" customFormat="1" ht="12.75">
      <c r="A213" s="145"/>
      <c r="E213"/>
      <c r="F213" s="95"/>
      <c r="I213"/>
      <c r="J213"/>
      <c r="K213"/>
    </row>
    <row r="214" spans="1:11" s="71" customFormat="1" ht="12.75">
      <c r="A214" s="145"/>
      <c r="E214"/>
      <c r="F214" s="95"/>
      <c r="I214"/>
      <c r="J214"/>
      <c r="K214"/>
    </row>
    <row r="215" spans="1:11" s="71" customFormat="1" ht="12.75">
      <c r="A215" s="145"/>
      <c r="E215"/>
      <c r="F215" s="95"/>
      <c r="I215"/>
      <c r="J215"/>
      <c r="K215"/>
    </row>
    <row r="216" spans="1:11" s="71" customFormat="1" ht="12.75">
      <c r="A216" s="145"/>
      <c r="E216"/>
      <c r="F216" s="95"/>
      <c r="I216"/>
      <c r="J216"/>
      <c r="K216"/>
    </row>
    <row r="217" spans="1:11" s="71" customFormat="1" ht="12.75">
      <c r="A217" s="145"/>
      <c r="E217"/>
      <c r="F217" s="95"/>
      <c r="I217"/>
      <c r="J217"/>
      <c r="K217"/>
    </row>
    <row r="218" spans="1:11" s="71" customFormat="1" ht="12.75">
      <c r="A218" s="145"/>
      <c r="E218"/>
      <c r="F218" s="95"/>
      <c r="I218"/>
      <c r="J218"/>
      <c r="K218"/>
    </row>
    <row r="219" spans="1:11" s="71" customFormat="1" ht="12.75">
      <c r="A219" s="145"/>
      <c r="E219"/>
      <c r="F219" s="95"/>
      <c r="I219"/>
      <c r="J219"/>
      <c r="K219"/>
    </row>
    <row r="220" spans="1:11" s="71" customFormat="1" ht="12.75">
      <c r="A220" s="145"/>
      <c r="E220"/>
      <c r="F220" s="95"/>
      <c r="I220"/>
      <c r="J220"/>
      <c r="K220"/>
    </row>
    <row r="221" spans="1:11" s="71" customFormat="1" ht="12.75">
      <c r="A221" s="145"/>
      <c r="E221"/>
      <c r="F221" s="95"/>
      <c r="I221"/>
      <c r="J221"/>
      <c r="K221"/>
    </row>
    <row r="222" spans="1:11" s="71" customFormat="1" ht="12.75">
      <c r="A222" s="145"/>
      <c r="E222"/>
      <c r="F222" s="95"/>
      <c r="I222"/>
      <c r="J222"/>
      <c r="K222"/>
    </row>
    <row r="223" spans="1:11" s="71" customFormat="1" ht="12.75">
      <c r="A223" s="145"/>
      <c r="E223"/>
      <c r="F223" s="95"/>
      <c r="I223"/>
      <c r="J223"/>
      <c r="K223"/>
    </row>
    <row r="224" spans="1:11" s="71" customFormat="1" ht="12.75">
      <c r="A224" s="145"/>
      <c r="E224"/>
      <c r="F224" s="95"/>
      <c r="I224"/>
      <c r="J224"/>
      <c r="K224"/>
    </row>
    <row r="225" spans="1:11" s="71" customFormat="1" ht="12.75">
      <c r="A225" s="145"/>
      <c r="E225"/>
      <c r="F225" s="95"/>
      <c r="I225"/>
      <c r="J225"/>
      <c r="K225"/>
    </row>
    <row r="226" spans="1:11" s="71" customFormat="1" ht="12.75">
      <c r="A226" s="145"/>
      <c r="E226"/>
      <c r="F226" s="95"/>
      <c r="I226"/>
      <c r="J226"/>
      <c r="K226"/>
    </row>
    <row r="227" spans="1:11" s="71" customFormat="1" ht="12.75">
      <c r="A227" s="145"/>
      <c r="E227"/>
      <c r="F227" s="95"/>
      <c r="I227"/>
      <c r="J227"/>
      <c r="K227"/>
    </row>
    <row r="228" spans="1:11" s="71" customFormat="1" ht="12.75">
      <c r="A228" s="145"/>
      <c r="E228"/>
      <c r="F228" s="95"/>
      <c r="I228"/>
      <c r="J228"/>
      <c r="K228"/>
    </row>
    <row r="229" spans="1:11" s="71" customFormat="1" ht="12.75">
      <c r="A229" s="145"/>
      <c r="E229"/>
      <c r="F229" s="95"/>
      <c r="I229"/>
      <c r="J229"/>
      <c r="K229"/>
    </row>
    <row r="230" spans="1:11" s="71" customFormat="1" ht="12.75">
      <c r="A230" s="145"/>
      <c r="E230"/>
      <c r="F230" s="95"/>
      <c r="I230"/>
      <c r="J230"/>
      <c r="K230"/>
    </row>
    <row r="231" spans="1:11" s="71" customFormat="1" ht="12.75">
      <c r="A231" s="145"/>
      <c r="E231"/>
      <c r="F231" s="95"/>
      <c r="I231"/>
      <c r="J231"/>
      <c r="K231"/>
    </row>
    <row r="232" spans="1:11" s="71" customFormat="1" ht="12.75">
      <c r="A232" s="145"/>
      <c r="E232"/>
      <c r="F232" s="95"/>
      <c r="I232"/>
      <c r="J232"/>
      <c r="K232"/>
    </row>
    <row r="233" spans="1:11" s="71" customFormat="1" ht="12.75">
      <c r="A233" s="145"/>
      <c r="E233"/>
      <c r="F233" s="95"/>
      <c r="I233"/>
      <c r="J233"/>
      <c r="K233"/>
    </row>
    <row r="234" spans="1:11" s="71" customFormat="1" ht="12.75">
      <c r="A234" s="145"/>
      <c r="E234"/>
      <c r="F234" s="95"/>
      <c r="I234"/>
      <c r="J234"/>
      <c r="K234"/>
    </row>
    <row r="235" spans="1:11" s="71" customFormat="1" ht="12.75">
      <c r="A235" s="145"/>
      <c r="E235"/>
      <c r="F235" s="95"/>
      <c r="I235"/>
      <c r="J235"/>
      <c r="K235"/>
    </row>
    <row r="236" spans="1:11" s="71" customFormat="1" ht="12.75">
      <c r="A236" s="145"/>
      <c r="E236"/>
      <c r="F236" s="95"/>
      <c r="I236"/>
      <c r="J236"/>
      <c r="K236"/>
    </row>
    <row r="237" spans="1:11" s="71" customFormat="1" ht="12.75">
      <c r="A237" s="145"/>
      <c r="E237"/>
      <c r="F237" s="95"/>
      <c r="I237"/>
      <c r="J237"/>
      <c r="K237"/>
    </row>
    <row r="238" spans="1:11" s="71" customFormat="1" ht="12.75">
      <c r="A238" s="145"/>
      <c r="E238"/>
      <c r="F238" s="95"/>
      <c r="I238"/>
      <c r="J238"/>
      <c r="K238"/>
    </row>
    <row r="239" spans="1:11" s="71" customFormat="1" ht="12.75">
      <c r="A239" s="145"/>
      <c r="E239"/>
      <c r="F239" s="95"/>
      <c r="I239"/>
      <c r="J239"/>
      <c r="K239"/>
    </row>
    <row r="240" spans="1:11" s="71" customFormat="1" ht="12.75">
      <c r="A240" s="145"/>
      <c r="E240"/>
      <c r="F240" s="95"/>
      <c r="I240"/>
      <c r="J240"/>
      <c r="K240"/>
    </row>
    <row r="241" spans="1:11" s="71" customFormat="1" ht="12.75">
      <c r="A241" s="145"/>
      <c r="E241"/>
      <c r="F241" s="95"/>
      <c r="I241"/>
      <c r="J241"/>
      <c r="K241"/>
    </row>
    <row r="242" spans="1:11" s="71" customFormat="1" ht="12.75">
      <c r="A242" s="145"/>
      <c r="E242"/>
      <c r="F242" s="95"/>
      <c r="I242"/>
      <c r="J242"/>
      <c r="K242"/>
    </row>
    <row r="243" spans="1:11" s="71" customFormat="1" ht="12.75">
      <c r="A243" s="145"/>
      <c r="E243"/>
      <c r="F243" s="95"/>
      <c r="I243"/>
      <c r="J243"/>
      <c r="K243"/>
    </row>
    <row r="244" spans="1:11" s="71" customFormat="1" ht="12.75">
      <c r="A244" s="145"/>
      <c r="E244"/>
      <c r="F244" s="95"/>
      <c r="I244"/>
      <c r="J244"/>
      <c r="K244"/>
    </row>
    <row r="245" spans="1:11" s="71" customFormat="1" ht="12.75">
      <c r="A245" s="145"/>
      <c r="E245"/>
      <c r="F245" s="95"/>
      <c r="I245"/>
      <c r="J245"/>
      <c r="K245"/>
    </row>
    <row r="246" spans="1:11" s="71" customFormat="1" ht="12.75">
      <c r="A246" s="145"/>
      <c r="E246"/>
      <c r="F246" s="95"/>
      <c r="I246"/>
      <c r="J246"/>
      <c r="K246"/>
    </row>
    <row r="247" spans="1:11" s="71" customFormat="1" ht="12.75">
      <c r="A247" s="145"/>
      <c r="E247"/>
      <c r="F247" s="95"/>
      <c r="I247"/>
      <c r="J247"/>
      <c r="K247"/>
    </row>
    <row r="248" spans="1:11" s="71" customFormat="1" ht="12.75">
      <c r="A248" s="145"/>
      <c r="E248"/>
      <c r="F248" s="95"/>
      <c r="I248"/>
      <c r="J248"/>
      <c r="K248"/>
    </row>
    <row r="249" spans="1:11" s="71" customFormat="1" ht="12.75">
      <c r="A249" s="145"/>
      <c r="E249"/>
      <c r="F249" s="95"/>
      <c r="I249"/>
      <c r="J249"/>
      <c r="K249"/>
    </row>
    <row r="250" spans="1:11" s="71" customFormat="1" ht="12.75">
      <c r="A250" s="145"/>
      <c r="E250"/>
      <c r="F250" s="95"/>
      <c r="I250"/>
      <c r="J250"/>
      <c r="K250"/>
    </row>
    <row r="251" spans="1:11" s="71" customFormat="1" ht="12.75">
      <c r="A251" s="145"/>
      <c r="E251"/>
      <c r="F251" s="95"/>
      <c r="I251"/>
      <c r="J251"/>
      <c r="K251"/>
    </row>
    <row r="252" spans="1:11" s="71" customFormat="1" ht="12.75">
      <c r="A252" s="145"/>
      <c r="E252"/>
      <c r="F252" s="95"/>
      <c r="I252"/>
      <c r="J252"/>
      <c r="K252"/>
    </row>
    <row r="253" spans="1:11" s="71" customFormat="1" ht="12.75">
      <c r="A253" s="145"/>
      <c r="E253"/>
      <c r="F253" s="95"/>
      <c r="I253"/>
      <c r="J253"/>
      <c r="K253"/>
    </row>
    <row r="254" spans="1:11" s="71" customFormat="1" ht="12.75">
      <c r="A254" s="145"/>
      <c r="E254"/>
      <c r="F254" s="95"/>
      <c r="I254"/>
      <c r="J254"/>
      <c r="K254"/>
    </row>
    <row r="255" spans="1:11" s="71" customFormat="1" ht="12.75">
      <c r="A255" s="145"/>
      <c r="E255"/>
      <c r="F255" s="95"/>
      <c r="I255"/>
      <c r="J255"/>
      <c r="K255"/>
    </row>
    <row r="256" spans="1:11" s="71" customFormat="1" ht="12.75">
      <c r="A256" s="145"/>
      <c r="E256"/>
      <c r="F256" s="95"/>
      <c r="I256"/>
      <c r="J256"/>
      <c r="K256"/>
    </row>
    <row r="257" spans="1:11" s="71" customFormat="1" ht="12.75">
      <c r="A257" s="145"/>
      <c r="E257"/>
      <c r="F257" s="95"/>
      <c r="I257"/>
      <c r="J257"/>
      <c r="K257"/>
    </row>
    <row r="258" spans="1:11" s="71" customFormat="1" ht="12.75">
      <c r="A258" s="145"/>
      <c r="E258"/>
      <c r="F258" s="95"/>
      <c r="I258"/>
      <c r="J258"/>
      <c r="K258"/>
    </row>
    <row r="259" spans="1:11" s="71" customFormat="1" ht="12.75">
      <c r="A259" s="145"/>
      <c r="E259"/>
      <c r="F259" s="95"/>
      <c r="I259"/>
      <c r="J259"/>
      <c r="K259"/>
    </row>
    <row r="260" spans="1:11" s="71" customFormat="1" ht="12.75">
      <c r="A260" s="145"/>
      <c r="E260"/>
      <c r="F260" s="95"/>
      <c r="I260"/>
      <c r="J260"/>
      <c r="K260"/>
    </row>
    <row r="261" spans="1:11" s="71" customFormat="1" ht="12.75">
      <c r="A261" s="145"/>
      <c r="E261"/>
      <c r="F261" s="95"/>
      <c r="I261"/>
      <c r="J261"/>
      <c r="K261"/>
    </row>
    <row r="262" spans="1:11" s="71" customFormat="1" ht="12.75">
      <c r="A262" s="145"/>
      <c r="E262"/>
      <c r="F262" s="95"/>
      <c r="I262"/>
      <c r="J262"/>
      <c r="K262"/>
    </row>
    <row r="263" spans="1:11" s="71" customFormat="1" ht="12.75">
      <c r="A263" s="145"/>
      <c r="E263"/>
      <c r="F263" s="95"/>
      <c r="I263"/>
      <c r="J263"/>
      <c r="K263"/>
    </row>
    <row r="264" spans="1:11" s="71" customFormat="1" ht="12.75">
      <c r="A264" s="145"/>
      <c r="E264"/>
      <c r="F264" s="95"/>
      <c r="I264"/>
      <c r="J264"/>
      <c r="K264"/>
    </row>
    <row r="265" spans="1:11" s="71" customFormat="1" ht="12.75">
      <c r="A265" s="145"/>
      <c r="E265"/>
      <c r="F265" s="95"/>
      <c r="I265"/>
      <c r="J265"/>
      <c r="K265"/>
    </row>
    <row r="266" spans="1:11" s="71" customFormat="1" ht="12.75">
      <c r="A266" s="145"/>
      <c r="E266"/>
      <c r="F266" s="95"/>
      <c r="I266"/>
      <c r="J266"/>
      <c r="K266"/>
    </row>
    <row r="267" spans="1:11" s="71" customFormat="1" ht="12.75">
      <c r="A267" s="145"/>
      <c r="E267"/>
      <c r="F267" s="95"/>
      <c r="I267"/>
      <c r="J267"/>
      <c r="K267"/>
    </row>
    <row r="268" spans="1:11" s="71" customFormat="1" ht="12.75">
      <c r="A268" s="145"/>
      <c r="E268"/>
      <c r="F268" s="95"/>
      <c r="I268"/>
      <c r="J268"/>
      <c r="K268"/>
    </row>
    <row r="269" spans="1:11" s="71" customFormat="1" ht="12.75">
      <c r="A269" s="145"/>
      <c r="E269"/>
      <c r="F269" s="95"/>
      <c r="I269"/>
      <c r="J269"/>
      <c r="K269"/>
    </row>
    <row r="270" spans="1:11" s="71" customFormat="1" ht="12.75">
      <c r="A270" s="145"/>
      <c r="E270"/>
      <c r="F270" s="95"/>
      <c r="I270"/>
      <c r="J270"/>
      <c r="K270"/>
    </row>
    <row r="271" spans="1:11" s="71" customFormat="1" ht="12.75">
      <c r="A271" s="145"/>
      <c r="E271"/>
      <c r="F271" s="95"/>
      <c r="I271"/>
      <c r="J271"/>
      <c r="K271"/>
    </row>
    <row r="272" spans="1:11" s="71" customFormat="1" ht="12.75">
      <c r="A272" s="145"/>
      <c r="E272"/>
      <c r="F272" s="95"/>
      <c r="I272"/>
      <c r="J272"/>
      <c r="K272"/>
    </row>
    <row r="273" spans="1:11" s="71" customFormat="1" ht="12.75">
      <c r="A273" s="145"/>
      <c r="E273"/>
      <c r="F273" s="95"/>
      <c r="I273"/>
      <c r="J273"/>
      <c r="K273"/>
    </row>
    <row r="274" spans="1:11" s="71" customFormat="1" ht="12.75">
      <c r="A274" s="145"/>
      <c r="E274"/>
      <c r="F274" s="95"/>
      <c r="I274"/>
      <c r="J274"/>
      <c r="K274"/>
    </row>
    <row r="275" spans="1:11" s="71" customFormat="1" ht="12.75">
      <c r="A275" s="145"/>
      <c r="E275"/>
      <c r="F275" s="95"/>
      <c r="I275"/>
      <c r="J275"/>
      <c r="K275"/>
    </row>
    <row r="276" spans="1:11" s="71" customFormat="1" ht="12.75">
      <c r="A276" s="145"/>
      <c r="E276"/>
      <c r="F276" s="95"/>
      <c r="I276"/>
      <c r="J276"/>
      <c r="K276"/>
    </row>
    <row r="277" spans="1:11" s="71" customFormat="1" ht="12.75">
      <c r="A277" s="145"/>
      <c r="E277"/>
      <c r="F277" s="95"/>
      <c r="I277"/>
      <c r="J277"/>
      <c r="K277"/>
    </row>
    <row r="278" spans="1:11" s="71" customFormat="1" ht="12.75">
      <c r="A278" s="145"/>
      <c r="E278"/>
      <c r="F278" s="95"/>
      <c r="I278"/>
      <c r="J278"/>
      <c r="K278"/>
    </row>
    <row r="279" spans="1:11" s="71" customFormat="1" ht="12.75">
      <c r="A279" s="145"/>
      <c r="E279"/>
      <c r="F279" s="95"/>
      <c r="I279"/>
      <c r="J279"/>
      <c r="K279"/>
    </row>
    <row r="280" spans="1:11" s="71" customFormat="1" ht="12.75">
      <c r="A280" s="145"/>
      <c r="E280"/>
      <c r="F280" s="95"/>
      <c r="I280"/>
      <c r="J280"/>
      <c r="K280"/>
    </row>
    <row r="281" spans="1:11" s="71" customFormat="1" ht="12.75">
      <c r="A281" s="145"/>
      <c r="E281"/>
      <c r="F281" s="95"/>
      <c r="I281"/>
      <c r="J281"/>
      <c r="K281"/>
    </row>
    <row r="282" spans="1:11" s="71" customFormat="1" ht="12.75">
      <c r="A282" s="145"/>
      <c r="E282"/>
      <c r="F282" s="95"/>
      <c r="I282"/>
      <c r="J282"/>
      <c r="K282"/>
    </row>
    <row r="283" spans="1:11" s="71" customFormat="1" ht="12.75">
      <c r="A283" s="145"/>
      <c r="E283"/>
      <c r="F283" s="95"/>
      <c r="I283"/>
      <c r="J283"/>
      <c r="K283"/>
    </row>
    <row r="284" spans="1:11" s="71" customFormat="1" ht="12.75">
      <c r="A284" s="145"/>
      <c r="E284"/>
      <c r="F284" s="95"/>
      <c r="I284"/>
      <c r="J284"/>
      <c r="K284"/>
    </row>
    <row r="285" spans="1:11" s="71" customFormat="1" ht="12.75">
      <c r="A285" s="145"/>
      <c r="E285"/>
      <c r="F285" s="95"/>
      <c r="I285"/>
      <c r="J285"/>
      <c r="K285"/>
    </row>
    <row r="286" spans="1:11" s="71" customFormat="1" ht="12.75">
      <c r="A286" s="145"/>
      <c r="E286"/>
      <c r="F286" s="95"/>
      <c r="I286"/>
      <c r="J286"/>
      <c r="K286"/>
    </row>
    <row r="287" spans="1:11" s="71" customFormat="1" ht="12.75">
      <c r="A287" s="145"/>
      <c r="E287"/>
      <c r="F287" s="95"/>
      <c r="I287"/>
      <c r="J287"/>
      <c r="K287"/>
    </row>
    <row r="288" spans="1:11" s="71" customFormat="1" ht="12.75">
      <c r="A288" s="145"/>
      <c r="E288"/>
      <c r="F288" s="95"/>
      <c r="I288"/>
      <c r="J288"/>
      <c r="K288"/>
    </row>
    <row r="289" spans="1:11" s="71" customFormat="1" ht="12.75">
      <c r="A289" s="145"/>
      <c r="E289"/>
      <c r="F289" s="95"/>
      <c r="I289"/>
      <c r="J289"/>
      <c r="K289"/>
    </row>
    <row r="290" spans="1:11" s="71" customFormat="1" ht="12.75">
      <c r="A290" s="145"/>
      <c r="E290"/>
      <c r="F290" s="95"/>
      <c r="I290"/>
      <c r="J290"/>
      <c r="K290"/>
    </row>
    <row r="291" spans="1:11" s="71" customFormat="1" ht="12.75">
      <c r="A291" s="145"/>
      <c r="E291"/>
      <c r="F291" s="95"/>
      <c r="I291"/>
      <c r="J291"/>
      <c r="K291"/>
    </row>
    <row r="292" spans="1:11" s="71" customFormat="1" ht="12.75">
      <c r="A292" s="145"/>
      <c r="E292"/>
      <c r="F292" s="95"/>
      <c r="I292"/>
      <c r="J292"/>
      <c r="K292"/>
    </row>
    <row r="293" spans="1:11" s="71" customFormat="1" ht="12.75">
      <c r="A293" s="145"/>
      <c r="E293"/>
      <c r="F293" s="95"/>
      <c r="I293"/>
      <c r="J293"/>
      <c r="K293"/>
    </row>
    <row r="294" spans="1:11" s="71" customFormat="1" ht="12.75">
      <c r="A294" s="145"/>
      <c r="E294"/>
      <c r="F294" s="95"/>
      <c r="I294"/>
      <c r="J294"/>
      <c r="K294"/>
    </row>
    <row r="295" spans="1:11" s="71" customFormat="1" ht="12.75">
      <c r="A295" s="145"/>
      <c r="E295"/>
      <c r="F295" s="95"/>
      <c r="I295"/>
      <c r="J295"/>
      <c r="K295"/>
    </row>
    <row r="296" spans="1:11" s="71" customFormat="1" ht="12.75">
      <c r="A296" s="145"/>
      <c r="E296"/>
      <c r="F296" s="95"/>
      <c r="I296"/>
      <c r="J296"/>
      <c r="K296"/>
    </row>
    <row r="297" spans="1:11" s="71" customFormat="1" ht="12.75">
      <c r="A297" s="145"/>
      <c r="E297"/>
      <c r="F297" s="95"/>
      <c r="I297"/>
      <c r="J297"/>
      <c r="K297"/>
    </row>
    <row r="298" spans="1:11" s="71" customFormat="1" ht="12.75">
      <c r="A298" s="145"/>
      <c r="E298"/>
      <c r="F298" s="95"/>
      <c r="I298"/>
      <c r="J298"/>
      <c r="K298"/>
    </row>
    <row r="299" spans="1:11" s="71" customFormat="1" ht="12.75">
      <c r="A299" s="145"/>
      <c r="E299"/>
      <c r="F299" s="95"/>
      <c r="I299"/>
      <c r="J299"/>
      <c r="K299"/>
    </row>
    <row r="300" spans="1:11" s="71" customFormat="1" ht="12.75">
      <c r="A300" s="145"/>
      <c r="E300"/>
      <c r="F300" s="95"/>
      <c r="I300"/>
      <c r="J300"/>
      <c r="K300"/>
    </row>
    <row r="301" spans="1:11" s="71" customFormat="1" ht="12.75">
      <c r="A301" s="145"/>
      <c r="E301"/>
      <c r="F301" s="95"/>
      <c r="I301"/>
      <c r="J301"/>
      <c r="K301"/>
    </row>
    <row r="302" spans="1:11" s="71" customFormat="1" ht="12.75">
      <c r="A302" s="145"/>
      <c r="E302"/>
      <c r="F302" s="95"/>
      <c r="I302"/>
      <c r="J302"/>
      <c r="K302"/>
    </row>
    <row r="303" spans="1:11" s="71" customFormat="1" ht="12.75">
      <c r="A303" s="145"/>
      <c r="E303"/>
      <c r="F303" s="95"/>
      <c r="I303"/>
      <c r="J303"/>
      <c r="K303"/>
    </row>
    <row r="304" spans="1:11" s="71" customFormat="1" ht="12.75">
      <c r="A304" s="145"/>
      <c r="E304"/>
      <c r="F304" s="95"/>
      <c r="I304"/>
      <c r="J304"/>
      <c r="K304"/>
    </row>
    <row r="305" spans="1:11" s="71" customFormat="1" ht="12.75">
      <c r="A305" s="145"/>
      <c r="E305"/>
      <c r="F305" s="95"/>
      <c r="I305"/>
      <c r="J305"/>
      <c r="K305"/>
    </row>
    <row r="306" spans="1:11" s="71" customFormat="1" ht="12.75">
      <c r="A306" s="145"/>
      <c r="E306"/>
      <c r="F306" s="95"/>
      <c r="I306"/>
      <c r="J306"/>
      <c r="K306"/>
    </row>
    <row r="307" spans="1:11" s="71" customFormat="1" ht="12.75">
      <c r="A307" s="145"/>
      <c r="E307"/>
      <c r="F307" s="95"/>
      <c r="I307"/>
      <c r="J307"/>
      <c r="K307"/>
    </row>
    <row r="308" spans="1:11" s="71" customFormat="1" ht="12.75">
      <c r="A308" s="145"/>
      <c r="E308"/>
      <c r="F308" s="95"/>
      <c r="I308"/>
      <c r="J308"/>
      <c r="K308"/>
    </row>
    <row r="309" spans="1:11" s="71" customFormat="1" ht="12.75">
      <c r="A309" s="145"/>
      <c r="E309"/>
      <c r="F309" s="95"/>
      <c r="I309"/>
      <c r="J309"/>
      <c r="K309"/>
    </row>
    <row r="310" spans="1:11" s="71" customFormat="1" ht="12.75">
      <c r="A310" s="145"/>
      <c r="E310"/>
      <c r="F310" s="95"/>
      <c r="I310"/>
      <c r="J310"/>
      <c r="K310"/>
    </row>
    <row r="311" spans="1:11" s="71" customFormat="1" ht="12.75">
      <c r="A311" s="145"/>
      <c r="E311"/>
      <c r="F311" s="95"/>
      <c r="I311"/>
      <c r="J311"/>
      <c r="K311"/>
    </row>
    <row r="312" spans="1:11" s="71" customFormat="1" ht="12.75">
      <c r="A312" s="145"/>
      <c r="E312"/>
      <c r="F312" s="95"/>
      <c r="I312"/>
      <c r="J312"/>
      <c r="K312"/>
    </row>
    <row r="313" spans="1:11" s="71" customFormat="1" ht="12.75">
      <c r="A313" s="145"/>
      <c r="E313"/>
      <c r="F313" s="95"/>
      <c r="I313"/>
      <c r="J313"/>
      <c r="K313"/>
    </row>
    <row r="314" spans="1:11" s="71" customFormat="1" ht="12.75">
      <c r="A314" s="145"/>
      <c r="E314"/>
      <c r="F314" s="95"/>
      <c r="I314"/>
      <c r="J314"/>
      <c r="K314"/>
    </row>
    <row r="315" spans="1:11" s="71" customFormat="1" ht="12.75">
      <c r="A315" s="145"/>
      <c r="E315"/>
      <c r="F315" s="95"/>
      <c r="I315"/>
      <c r="J315"/>
      <c r="K315"/>
    </row>
    <row r="316" spans="1:11" s="71" customFormat="1" ht="12.75">
      <c r="A316" s="145"/>
      <c r="E316"/>
      <c r="F316" s="95"/>
      <c r="I316"/>
      <c r="J316"/>
      <c r="K316"/>
    </row>
    <row r="317" spans="1:11" s="71" customFormat="1" ht="12.75">
      <c r="A317" s="145"/>
      <c r="E317"/>
      <c r="F317" s="95"/>
      <c r="I317"/>
      <c r="J317"/>
      <c r="K317"/>
    </row>
    <row r="318" spans="1:11" s="71" customFormat="1" ht="12.75">
      <c r="A318" s="145"/>
      <c r="E318"/>
      <c r="F318" s="95"/>
      <c r="I318"/>
      <c r="J318"/>
      <c r="K318"/>
    </row>
    <row r="319" spans="1:11" s="71" customFormat="1" ht="12.75">
      <c r="A319" s="145"/>
      <c r="E319"/>
      <c r="F319" s="95"/>
      <c r="I319"/>
      <c r="J319"/>
      <c r="K319"/>
    </row>
    <row r="320" spans="1:11" s="71" customFormat="1" ht="12.75">
      <c r="A320" s="145"/>
      <c r="E320"/>
      <c r="F320" s="95"/>
      <c r="I320"/>
      <c r="J320"/>
      <c r="K320"/>
    </row>
    <row r="321" spans="1:11" s="71" customFormat="1" ht="12.75">
      <c r="A321" s="145"/>
      <c r="E321"/>
      <c r="F321" s="95"/>
      <c r="I321"/>
      <c r="J321"/>
      <c r="K321"/>
    </row>
    <row r="322" spans="1:11" s="71" customFormat="1" ht="12.75">
      <c r="A322" s="145"/>
      <c r="E322"/>
      <c r="F322" s="95"/>
      <c r="I322"/>
      <c r="J322"/>
      <c r="K322"/>
    </row>
    <row r="323" spans="1:11" s="71" customFormat="1" ht="12.75">
      <c r="A323" s="145"/>
      <c r="E323"/>
      <c r="F323" s="95"/>
      <c r="I323"/>
      <c r="J323"/>
      <c r="K323"/>
    </row>
    <row r="324" spans="1:11" s="71" customFormat="1" ht="12.75">
      <c r="A324" s="145"/>
      <c r="E324"/>
      <c r="F324" s="95"/>
      <c r="I324"/>
      <c r="J324"/>
      <c r="K324"/>
    </row>
    <row r="325" spans="1:11" s="71" customFormat="1" ht="12.75">
      <c r="A325" s="145"/>
      <c r="E325"/>
      <c r="F325" s="95"/>
      <c r="I325"/>
      <c r="J325"/>
      <c r="K325"/>
    </row>
    <row r="326" spans="1:11" s="71" customFormat="1" ht="12.75">
      <c r="A326" s="145"/>
      <c r="E326"/>
      <c r="F326" s="95"/>
      <c r="I326"/>
      <c r="J326"/>
      <c r="K326"/>
    </row>
  </sheetData>
  <sheetProtection/>
  <mergeCells count="24">
    <mergeCell ref="B129:C129"/>
    <mergeCell ref="B130:C130"/>
    <mergeCell ref="B117:C117"/>
    <mergeCell ref="B118:C118"/>
    <mergeCell ref="B119:C119"/>
    <mergeCell ref="B120:C120"/>
    <mergeCell ref="B121:C121"/>
    <mergeCell ref="B122:C122"/>
    <mergeCell ref="B112:C112"/>
    <mergeCell ref="B113:C113"/>
    <mergeCell ref="B114:C114"/>
    <mergeCell ref="B115:C115"/>
    <mergeCell ref="B116:C116"/>
    <mergeCell ref="B123:C123"/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80" zoomScaleNormal="80" zoomScalePageLayoutView="0" workbookViewId="0" topLeftCell="A1">
      <pane xSplit="1" ySplit="1" topLeftCell="B2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5" sqref="C45:G49"/>
    </sheetView>
  </sheetViews>
  <sheetFormatPr defaultColWidth="9.140625" defaultRowHeight="12.75"/>
  <cols>
    <col min="1" max="1" width="31.00390625" style="292" customWidth="1"/>
    <col min="2" max="2" width="13.140625" style="292" customWidth="1"/>
    <col min="3" max="3" width="11.8515625" style="292" customWidth="1"/>
    <col min="4" max="5" width="11.140625" style="292" customWidth="1"/>
    <col min="6" max="6" width="12.140625" style="292" customWidth="1"/>
    <col min="7" max="7" width="11.421875" style="292" customWidth="1"/>
    <col min="8" max="8" width="15.421875" style="292" customWidth="1"/>
    <col min="9" max="9" width="18.421875" style="292" customWidth="1"/>
    <col min="10" max="10" width="19.140625" style="292" customWidth="1"/>
    <col min="11" max="11" width="13.57421875" style="292" bestFit="1" customWidth="1"/>
    <col min="12" max="12" width="15.8515625" style="292" bestFit="1" customWidth="1"/>
    <col min="13" max="13" width="13.421875" style="292" customWidth="1"/>
    <col min="14" max="15" width="9.140625" style="292" customWidth="1"/>
    <col min="16" max="16" width="51.00390625" style="292" customWidth="1"/>
    <col min="17" max="16384" width="9.140625" style="292" customWidth="1"/>
  </cols>
  <sheetData>
    <row r="1" spans="1:13" ht="54.75" customHeight="1" thickBot="1">
      <c r="A1" s="363" t="s">
        <v>518</v>
      </c>
      <c r="B1" s="364" t="s">
        <v>457</v>
      </c>
      <c r="C1" s="364" t="s">
        <v>458</v>
      </c>
      <c r="D1" s="364" t="s">
        <v>428</v>
      </c>
      <c r="E1" s="364" t="s">
        <v>441</v>
      </c>
      <c r="F1" s="364" t="s">
        <v>454</v>
      </c>
      <c r="G1" s="364" t="s">
        <v>459</v>
      </c>
      <c r="H1" s="365" t="s">
        <v>294</v>
      </c>
      <c r="I1" s="263" t="s">
        <v>410</v>
      </c>
      <c r="J1" s="366" t="s">
        <v>463</v>
      </c>
      <c r="K1" s="367"/>
      <c r="L1" s="367"/>
      <c r="M1" s="372" t="s">
        <v>339</v>
      </c>
    </row>
    <row r="2" spans="1:14" ht="15" customHeight="1">
      <c r="A2" s="368" t="s">
        <v>0</v>
      </c>
      <c r="B2" s="369">
        <f aca="true" t="shared" si="0" ref="B2:G2">B3+B7+B8+B12</f>
        <v>20744271.740000002</v>
      </c>
      <c r="C2" s="369">
        <f t="shared" si="0"/>
        <v>21051462</v>
      </c>
      <c r="D2" s="369">
        <f t="shared" si="0"/>
        <v>22229449.34</v>
      </c>
      <c r="E2" s="369">
        <f t="shared" si="0"/>
        <v>23192554.3004</v>
      </c>
      <c r="F2" s="369">
        <f t="shared" si="0"/>
        <v>24333209.498424</v>
      </c>
      <c r="G2" s="370">
        <f t="shared" si="0"/>
        <v>25289230.866529442</v>
      </c>
      <c r="H2" s="543">
        <f>C2/B2*100-100</f>
        <v>1.4808437907591667</v>
      </c>
      <c r="I2" s="543">
        <f>D2/C2*100-100</f>
        <v>5.595750736932189</v>
      </c>
      <c r="J2" s="543">
        <f>E2/D2*100-100</f>
        <v>4.332563284268915</v>
      </c>
      <c r="K2" s="543">
        <f>F2/E2*100-100</f>
        <v>4.918195655595923</v>
      </c>
      <c r="L2" s="543">
        <f>G2/F2*100-100</f>
        <v>3.928874931880074</v>
      </c>
      <c r="M2" s="326">
        <f>SUM(H2:L2)</f>
        <v>20.256228399436267</v>
      </c>
      <c r="N2" s="367"/>
    </row>
    <row r="3" spans="1:13" ht="15">
      <c r="A3" s="373" t="s">
        <v>28</v>
      </c>
      <c r="B3" s="374">
        <f aca="true" t="shared" si="1" ref="B3:G3">SUM(B4:B6)</f>
        <v>11624774.25</v>
      </c>
      <c r="C3" s="374">
        <f t="shared" si="1"/>
        <v>12469839</v>
      </c>
      <c r="D3" s="374">
        <f t="shared" si="1"/>
        <v>13215049.34</v>
      </c>
      <c r="E3" s="374">
        <f t="shared" si="1"/>
        <v>13986952.3004</v>
      </c>
      <c r="F3" s="374">
        <f t="shared" si="1"/>
        <v>14805169.438424</v>
      </c>
      <c r="G3" s="375">
        <f t="shared" si="1"/>
        <v>15672479.604729442</v>
      </c>
      <c r="H3" s="367"/>
      <c r="I3" s="367"/>
      <c r="J3" s="367"/>
      <c r="K3" s="367"/>
      <c r="L3" s="367"/>
      <c r="M3" s="367"/>
    </row>
    <row r="4" spans="1:13" ht="15">
      <c r="A4" s="373" t="s">
        <v>41</v>
      </c>
      <c r="B4" s="376">
        <f>Eelarvearuanne!H8</f>
        <v>11289011.86</v>
      </c>
      <c r="C4" s="376">
        <f>Eelarvearuanne!D8</f>
        <v>12136839</v>
      </c>
      <c r="D4" s="377">
        <f>+C4*1.06</f>
        <v>12865049.34</v>
      </c>
      <c r="E4" s="377">
        <f>+D4*1.06</f>
        <v>13636952.3004</v>
      </c>
      <c r="F4" s="377">
        <f>+E4*1.06</f>
        <v>14455169.438424</v>
      </c>
      <c r="G4" s="378">
        <f>+F4*1.06</f>
        <v>15322479.604729442</v>
      </c>
      <c r="H4" s="379">
        <f aca="true" t="shared" si="2" ref="H4:L5">C4/B4-1</f>
        <v>0.07510197974050148</v>
      </c>
      <c r="I4" s="379">
        <f t="shared" si="2"/>
        <v>0.06000000000000005</v>
      </c>
      <c r="J4" s="379">
        <f t="shared" si="2"/>
        <v>0.06000000000000005</v>
      </c>
      <c r="K4" s="379">
        <f t="shared" si="2"/>
        <v>0.06000000000000005</v>
      </c>
      <c r="L4" s="379">
        <f t="shared" si="2"/>
        <v>0.06000000000000005</v>
      </c>
      <c r="M4" s="367"/>
    </row>
    <row r="5" spans="1:13" ht="15">
      <c r="A5" s="373" t="s">
        <v>42</v>
      </c>
      <c r="B5" s="376">
        <f>Eelarvearuanne!H9</f>
        <v>335762.39</v>
      </c>
      <c r="C5" s="376">
        <f>Eelarvearuanne!D9</f>
        <v>333000</v>
      </c>
      <c r="D5" s="377">
        <v>350000</v>
      </c>
      <c r="E5" s="377">
        <v>350000</v>
      </c>
      <c r="F5" s="377">
        <v>350000</v>
      </c>
      <c r="G5" s="377">
        <v>350000</v>
      </c>
      <c r="H5" s="379">
        <f t="shared" si="2"/>
        <v>-0.008227216872026766</v>
      </c>
      <c r="I5" s="379">
        <f t="shared" si="2"/>
        <v>0.05105105105105112</v>
      </c>
      <c r="J5" s="379">
        <f t="shared" si="2"/>
        <v>0</v>
      </c>
      <c r="K5" s="379">
        <f t="shared" si="2"/>
        <v>0</v>
      </c>
      <c r="L5" s="379">
        <f t="shared" si="2"/>
        <v>0</v>
      </c>
      <c r="M5" s="367"/>
    </row>
    <row r="6" spans="1:13" ht="15">
      <c r="A6" s="373" t="s">
        <v>43</v>
      </c>
      <c r="B6" s="376">
        <f>Eelarvearuanne!H7-Eelarvearuanne!H8-Eelarvearuanne!H9</f>
        <v>5.820766091346741E-10</v>
      </c>
      <c r="C6" s="376">
        <f>Eelarvearuanne!D7-Eelarvearuanne!D8-Eelarvearuanne!D9</f>
        <v>0</v>
      </c>
      <c r="D6" s="377"/>
      <c r="E6" s="377"/>
      <c r="F6" s="377"/>
      <c r="G6" s="378"/>
      <c r="H6" s="379" t="s">
        <v>496</v>
      </c>
      <c r="I6" s="379" t="s">
        <v>496</v>
      </c>
      <c r="J6" s="379" t="s">
        <v>496</v>
      </c>
      <c r="K6" s="379" t="s">
        <v>496</v>
      </c>
      <c r="L6" s="379" t="s">
        <v>496</v>
      </c>
      <c r="M6" s="367"/>
    </row>
    <row r="7" spans="1:13" ht="15">
      <c r="A7" s="373" t="s">
        <v>29</v>
      </c>
      <c r="B7" s="376">
        <f>Eelarvearuanne!H14</f>
        <v>1264402.24</v>
      </c>
      <c r="C7" s="376">
        <f>Eelarvearuanne!D14</f>
        <v>1260000</v>
      </c>
      <c r="D7" s="377">
        <f>+C7*1.09</f>
        <v>1373400</v>
      </c>
      <c r="E7" s="377">
        <f>+D7*1.03</f>
        <v>1414602</v>
      </c>
      <c r="F7" s="377">
        <f>+E7*1.03</f>
        <v>1457040.06</v>
      </c>
      <c r="G7" s="378">
        <f>+F7*1.03</f>
        <v>1500751.2618000002</v>
      </c>
      <c r="H7" s="379">
        <f>C7/B7-1</f>
        <v>-0.0034816768435969037</v>
      </c>
      <c r="I7" s="379">
        <f>D7/C7-1</f>
        <v>0.09000000000000008</v>
      </c>
      <c r="J7" s="379">
        <f>E7/D7-1</f>
        <v>0.030000000000000027</v>
      </c>
      <c r="K7" s="379">
        <f>F7/E7-1</f>
        <v>0.030000000000000027</v>
      </c>
      <c r="L7" s="379">
        <f>G7/F7-1</f>
        <v>0.030000000000000027</v>
      </c>
      <c r="M7" s="367" t="s">
        <v>510</v>
      </c>
    </row>
    <row r="8" spans="1:13" ht="15">
      <c r="A8" s="373" t="s">
        <v>201</v>
      </c>
      <c r="B8" s="380">
        <f aca="true" t="shared" si="3" ref="B8:G8">SUM(B9:B11)</f>
        <v>7540033.95</v>
      </c>
      <c r="C8" s="374">
        <f t="shared" si="3"/>
        <v>7116623</v>
      </c>
      <c r="D8" s="374">
        <f t="shared" si="3"/>
        <v>7316000</v>
      </c>
      <c r="E8" s="374">
        <f t="shared" si="3"/>
        <v>7466000</v>
      </c>
      <c r="F8" s="374">
        <f t="shared" si="3"/>
        <v>7736000</v>
      </c>
      <c r="G8" s="375">
        <f t="shared" si="3"/>
        <v>7766000</v>
      </c>
      <c r="H8" s="367"/>
      <c r="I8" s="367"/>
      <c r="J8" s="367"/>
      <c r="K8" s="367"/>
      <c r="L8" s="367"/>
      <c r="M8" s="367"/>
    </row>
    <row r="9" spans="1:13" ht="15">
      <c r="A9" s="373" t="s">
        <v>404</v>
      </c>
      <c r="B9" s="376">
        <f>Eelarvearuanne!H16</f>
        <v>2226043</v>
      </c>
      <c r="C9" s="376">
        <f>Eelarvearuanne!D16</f>
        <v>2342368</v>
      </c>
      <c r="D9" s="377">
        <v>2442000</v>
      </c>
      <c r="E9" s="377">
        <v>2492000</v>
      </c>
      <c r="F9" s="377">
        <v>2542000</v>
      </c>
      <c r="G9" s="378">
        <v>2642000</v>
      </c>
      <c r="H9" s="371"/>
      <c r="I9" s="371"/>
      <c r="J9" s="371"/>
      <c r="K9" s="367"/>
      <c r="L9" s="367"/>
      <c r="M9" s="367"/>
    </row>
    <row r="10" spans="1:13" ht="15">
      <c r="A10" s="373" t="s">
        <v>405</v>
      </c>
      <c r="B10" s="376">
        <f>Eelarvearuanne!H17</f>
        <v>4875410</v>
      </c>
      <c r="C10" s="376">
        <f>Eelarvearuanne!D17</f>
        <v>4474255</v>
      </c>
      <c r="D10" s="377">
        <v>4524000</v>
      </c>
      <c r="E10" s="377">
        <v>4574000</v>
      </c>
      <c r="F10" s="377">
        <v>4624000</v>
      </c>
      <c r="G10" s="378">
        <v>4674000</v>
      </c>
      <c r="H10" s="381" t="s">
        <v>395</v>
      </c>
      <c r="I10" s="367"/>
      <c r="J10" s="367"/>
      <c r="K10" s="367"/>
      <c r="L10" s="367"/>
      <c r="M10" s="367"/>
    </row>
    <row r="11" spans="1:13" ht="15">
      <c r="A11" s="373" t="s">
        <v>202</v>
      </c>
      <c r="B11" s="376">
        <f>Eelarvearuanne!H18</f>
        <v>438580.95</v>
      </c>
      <c r="C11" s="376">
        <f>Eelarvearuanne!D18</f>
        <v>300000</v>
      </c>
      <c r="D11" s="377">
        <v>350000</v>
      </c>
      <c r="E11" s="377">
        <v>400000</v>
      </c>
      <c r="F11" s="377">
        <v>570000</v>
      </c>
      <c r="G11" s="378">
        <v>450000</v>
      </c>
      <c r="H11" s="371" t="s">
        <v>429</v>
      </c>
      <c r="I11" s="367"/>
      <c r="J11" s="367"/>
      <c r="K11" s="367"/>
      <c r="L11" s="367"/>
      <c r="M11" s="367"/>
    </row>
    <row r="12" spans="1:13" ht="15">
      <c r="A12" s="373" t="s">
        <v>30</v>
      </c>
      <c r="B12" s="376">
        <f>Eelarvearuanne!H19</f>
        <v>315061.30000000005</v>
      </c>
      <c r="C12" s="376">
        <f>Eelarvearuanne!D19</f>
        <v>205000</v>
      </c>
      <c r="D12" s="377">
        <v>325000</v>
      </c>
      <c r="E12" s="377">
        <v>325000</v>
      </c>
      <c r="F12" s="377">
        <v>335000</v>
      </c>
      <c r="G12" s="378">
        <v>350000</v>
      </c>
      <c r="H12" s="367" t="s">
        <v>306</v>
      </c>
      <c r="I12" s="367"/>
      <c r="J12" s="367"/>
      <c r="K12" s="367"/>
      <c r="L12" s="367"/>
      <c r="M12" s="367"/>
    </row>
    <row r="13" spans="1:13" ht="15">
      <c r="A13" s="382" t="s">
        <v>1</v>
      </c>
      <c r="B13" s="383">
        <f aca="true" t="shared" si="4" ref="B13:G13">SUM(B14:B15)</f>
        <v>16295364.259999998</v>
      </c>
      <c r="C13" s="383">
        <f>C14+C15</f>
        <v>17265000</v>
      </c>
      <c r="D13" s="384">
        <f t="shared" si="4"/>
        <v>18093000</v>
      </c>
      <c r="E13" s="384">
        <f t="shared" si="4"/>
        <v>18826690</v>
      </c>
      <c r="F13" s="384">
        <f t="shared" si="4"/>
        <v>19662505.1</v>
      </c>
      <c r="G13" s="385">
        <f t="shared" si="4"/>
        <v>20536810.179</v>
      </c>
      <c r="H13" s="544">
        <f>+C13/B13*100-100</f>
        <v>5.950377816224432</v>
      </c>
      <c r="I13" s="544">
        <f>+D13/C13*100-100</f>
        <v>4.795829713292804</v>
      </c>
      <c r="J13" s="544">
        <f>+E13/D13*100-100</f>
        <v>4.055104183938525</v>
      </c>
      <c r="K13" s="544">
        <f>+F13/E13*100-100</f>
        <v>4.439522295209628</v>
      </c>
      <c r="L13" s="544">
        <f>+G13/F13*100-100</f>
        <v>4.446559960459979</v>
      </c>
      <c r="M13" s="544">
        <f>SUM(H13:L13)</f>
        <v>23.687393969125367</v>
      </c>
    </row>
    <row r="14" spans="1:13" ht="15">
      <c r="A14" s="373" t="s">
        <v>203</v>
      </c>
      <c r="B14" s="376">
        <f>-Eelarvearuanne!H25</f>
        <v>784690.86</v>
      </c>
      <c r="C14" s="376">
        <f>-Eelarvearuanne!D25</f>
        <v>765000</v>
      </c>
      <c r="D14" s="377">
        <v>770000</v>
      </c>
      <c r="E14" s="377">
        <v>780000</v>
      </c>
      <c r="F14" s="377">
        <v>790000</v>
      </c>
      <c r="G14" s="378">
        <v>800000</v>
      </c>
      <c r="H14" s="367"/>
      <c r="I14" s="367"/>
      <c r="J14" s="367"/>
      <c r="K14" s="367"/>
      <c r="L14" s="367"/>
      <c r="M14" s="367"/>
    </row>
    <row r="15" spans="1:13" ht="15">
      <c r="A15" s="373" t="s">
        <v>31</v>
      </c>
      <c r="B15" s="380">
        <f aca="true" t="shared" si="5" ref="B15:G15">B16+B17+B19</f>
        <v>15510673.399999999</v>
      </c>
      <c r="C15" s="380">
        <f t="shared" si="5"/>
        <v>16500000</v>
      </c>
      <c r="D15" s="386">
        <f t="shared" si="5"/>
        <v>17323000</v>
      </c>
      <c r="E15" s="386">
        <f t="shared" si="5"/>
        <v>18046690</v>
      </c>
      <c r="F15" s="386">
        <f t="shared" si="5"/>
        <v>18872505.1</v>
      </c>
      <c r="G15" s="387">
        <f t="shared" si="5"/>
        <v>19736810.179</v>
      </c>
      <c r="H15" s="367"/>
      <c r="I15" s="367"/>
      <c r="J15" s="367"/>
      <c r="K15" s="367"/>
      <c r="L15" s="367"/>
      <c r="M15" s="367"/>
    </row>
    <row r="16" spans="1:13" ht="15">
      <c r="A16" s="373" t="s">
        <v>10</v>
      </c>
      <c r="B16" s="376">
        <f>-Eelarvearuanne!H31</f>
        <v>9372129.18</v>
      </c>
      <c r="C16" s="376">
        <f>-Eelarvearuanne!D31</f>
        <v>9900000</v>
      </c>
      <c r="D16" s="377">
        <f>+C16*1.05</f>
        <v>10395000</v>
      </c>
      <c r="E16" s="377">
        <f>+D16*1.05</f>
        <v>10914750</v>
      </c>
      <c r="F16" s="377">
        <f>+E16*1.05</f>
        <v>11460487.5</v>
      </c>
      <c r="G16" s="378">
        <f>+F16*1.05</f>
        <v>12033511.875</v>
      </c>
      <c r="H16" s="379">
        <f>C16/B16-1</f>
        <v>0.05632346821749645</v>
      </c>
      <c r="I16" s="379">
        <f aca="true" t="shared" si="6" ref="H16:L17">D16/C16-1</f>
        <v>0.050000000000000044</v>
      </c>
      <c r="J16" s="379">
        <f t="shared" si="6"/>
        <v>0.050000000000000044</v>
      </c>
      <c r="K16" s="379">
        <f t="shared" si="6"/>
        <v>0.050000000000000044</v>
      </c>
      <c r="L16" s="379">
        <f t="shared" si="6"/>
        <v>0.050000000000000044</v>
      </c>
      <c r="M16" s="367"/>
    </row>
    <row r="17" spans="1:13" ht="15">
      <c r="A17" s="373" t="s">
        <v>17</v>
      </c>
      <c r="B17" s="376">
        <f>-Eelarvearuanne!H32</f>
        <v>6132391.38</v>
      </c>
      <c r="C17" s="376">
        <f>-Eelarvearuanne!D32</f>
        <v>6600000</v>
      </c>
      <c r="D17" s="377">
        <f>+C17*1.03</f>
        <v>6798000</v>
      </c>
      <c r="E17" s="377">
        <f>+D17*1.03</f>
        <v>7001940</v>
      </c>
      <c r="F17" s="377">
        <f>+E17*1.04</f>
        <v>7282017.600000001</v>
      </c>
      <c r="G17" s="378">
        <f>+F17*1.04</f>
        <v>7573298.3040000005</v>
      </c>
      <c r="H17" s="379">
        <f t="shared" si="6"/>
        <v>0.07625224663987451</v>
      </c>
      <c r="I17" s="379">
        <f t="shared" si="6"/>
        <v>0.030000000000000027</v>
      </c>
      <c r="J17" s="379">
        <f t="shared" si="6"/>
        <v>0.030000000000000027</v>
      </c>
      <c r="K17" s="379">
        <f t="shared" si="6"/>
        <v>0.040000000000000036</v>
      </c>
      <c r="L17" s="379">
        <f t="shared" si="6"/>
        <v>0.040000000000000036</v>
      </c>
      <c r="M17" s="367"/>
    </row>
    <row r="18" spans="1:13" ht="45">
      <c r="A18" s="388" t="s">
        <v>519</v>
      </c>
      <c r="B18" s="389">
        <v>19000</v>
      </c>
      <c r="C18" s="389">
        <v>19414</v>
      </c>
      <c r="D18" s="390">
        <v>42538</v>
      </c>
      <c r="E18" s="390">
        <v>42538</v>
      </c>
      <c r="F18" s="390">
        <v>25114</v>
      </c>
      <c r="G18" s="391">
        <v>26602</v>
      </c>
      <c r="H18" s="392" t="s">
        <v>520</v>
      </c>
      <c r="I18" s="393"/>
      <c r="J18" s="394"/>
      <c r="K18" s="394"/>
      <c r="L18" s="546">
        <f>+G18+F18+E18+D18+C18</f>
        <v>156206</v>
      </c>
      <c r="M18" s="394"/>
    </row>
    <row r="19" spans="1:13" ht="15">
      <c r="A19" s="373" t="s">
        <v>18</v>
      </c>
      <c r="B19" s="376">
        <f>-Eelarvearuanne!H33</f>
        <v>6152.840000000317</v>
      </c>
      <c r="C19" s="376">
        <f>-Eelarvearuanne!D33</f>
        <v>0</v>
      </c>
      <c r="D19" s="377">
        <v>130000</v>
      </c>
      <c r="E19" s="377">
        <v>130000</v>
      </c>
      <c r="F19" s="377">
        <v>130000</v>
      </c>
      <c r="G19" s="378">
        <v>130000</v>
      </c>
      <c r="H19" s="372" t="s">
        <v>408</v>
      </c>
      <c r="I19" s="367"/>
      <c r="J19" s="367"/>
      <c r="K19" s="394"/>
      <c r="L19" s="394"/>
      <c r="M19" s="394"/>
    </row>
    <row r="20" spans="1:13" ht="15">
      <c r="A20" s="395" t="s">
        <v>204</v>
      </c>
      <c r="B20" s="383">
        <f aca="true" t="shared" si="7" ref="B20:G20">B2-B13</f>
        <v>4448907.480000004</v>
      </c>
      <c r="C20" s="384">
        <f t="shared" si="7"/>
        <v>3786462</v>
      </c>
      <c r="D20" s="384">
        <f t="shared" si="7"/>
        <v>4136449.34</v>
      </c>
      <c r="E20" s="384">
        <f t="shared" si="7"/>
        <v>4365864.3004</v>
      </c>
      <c r="F20" s="384">
        <f t="shared" si="7"/>
        <v>4670704.398424</v>
      </c>
      <c r="G20" s="385">
        <f t="shared" si="7"/>
        <v>4752420.687529441</v>
      </c>
      <c r="H20" s="372" t="s">
        <v>363</v>
      </c>
      <c r="I20" s="371"/>
      <c r="J20" s="371"/>
      <c r="K20" s="367"/>
      <c r="L20" s="367"/>
      <c r="M20" s="367"/>
    </row>
    <row r="21" spans="1:13" ht="28.5">
      <c r="A21" s="396" t="s">
        <v>2</v>
      </c>
      <c r="B21" s="383">
        <f aca="true" t="shared" si="8" ref="B21:G21">B22+B23+B25+B26+B27+B28+B29+B30+B31+B32</f>
        <v>-10734660.030000001</v>
      </c>
      <c r="C21" s="383">
        <f>C22+C23+C25+C26+C27+C28+C29+C30+C31+C32</f>
        <v>-5416965</v>
      </c>
      <c r="D21" s="383">
        <f>D22+D23+D25+D26+D27+D28+D29+D30+D31+D32</f>
        <v>-6415837</v>
      </c>
      <c r="E21" s="383">
        <f t="shared" si="8"/>
        <v>-6209004</v>
      </c>
      <c r="F21" s="383">
        <f t="shared" si="8"/>
        <v>-3821132</v>
      </c>
      <c r="G21" s="385">
        <f t="shared" si="8"/>
        <v>-7724359</v>
      </c>
      <c r="H21" s="367"/>
      <c r="I21" s="367"/>
      <c r="J21" s="371"/>
      <c r="K21" s="367"/>
      <c r="L21" s="367"/>
      <c r="M21" s="367"/>
    </row>
    <row r="22" spans="1:13" ht="12.75" customHeight="1">
      <c r="A22" s="397" t="s">
        <v>33</v>
      </c>
      <c r="B22" s="376">
        <f>Eelarvearuanne!H36</f>
        <v>93390</v>
      </c>
      <c r="C22" s="376">
        <f>Eelarvearuanne!D36</f>
        <v>200000</v>
      </c>
      <c r="D22" s="377">
        <v>100000</v>
      </c>
      <c r="E22" s="377">
        <v>50000</v>
      </c>
      <c r="F22" s="377">
        <v>50000</v>
      </c>
      <c r="G22" s="378">
        <v>0</v>
      </c>
      <c r="H22" s="398"/>
      <c r="I22" s="398"/>
      <c r="J22" s="371"/>
      <c r="K22" s="367"/>
      <c r="L22" s="367"/>
      <c r="M22" s="367"/>
    </row>
    <row r="23" spans="1:13" ht="12.75" customHeight="1">
      <c r="A23" s="397" t="s">
        <v>34</v>
      </c>
      <c r="B23" s="376">
        <f>Eelarvearuanne!H37</f>
        <v>-12906621.45</v>
      </c>
      <c r="C23" s="399">
        <f>Eelarvearuanne!D37</f>
        <v>-5593000</v>
      </c>
      <c r="D23" s="400">
        <f>-D88</f>
        <v>-7358000</v>
      </c>
      <c r="E23" s="400">
        <f>-E88</f>
        <v>-7360000</v>
      </c>
      <c r="F23" s="400">
        <f>-F88</f>
        <v>-3100000</v>
      </c>
      <c r="G23" s="401">
        <f>-G88</f>
        <v>-7180000</v>
      </c>
      <c r="H23" s="371" t="s">
        <v>353</v>
      </c>
      <c r="I23" s="371"/>
      <c r="J23" s="394"/>
      <c r="K23" s="394"/>
      <c r="L23" s="394"/>
      <c r="M23" s="394"/>
    </row>
    <row r="24" spans="1:13" ht="30">
      <c r="A24" s="402" t="s">
        <v>32</v>
      </c>
      <c r="B24" s="376">
        <f>-(-B23-B25)</f>
        <v>-10569555.93</v>
      </c>
      <c r="C24" s="400">
        <f>-C90</f>
        <v>-4565000</v>
      </c>
      <c r="D24" s="400">
        <f>-D90</f>
        <v>-5715000</v>
      </c>
      <c r="E24" s="400">
        <f>-E90</f>
        <v>-5460000</v>
      </c>
      <c r="F24" s="400">
        <f>-F90</f>
        <v>-3100000</v>
      </c>
      <c r="G24" s="401">
        <f>-G90</f>
        <v>-6880000</v>
      </c>
      <c r="H24" s="371" t="s">
        <v>353</v>
      </c>
      <c r="I24" s="371"/>
      <c r="J24" s="371"/>
      <c r="K24" s="367"/>
      <c r="L24" s="367"/>
      <c r="M24" s="367"/>
    </row>
    <row r="25" spans="1:13" ht="12.75" customHeight="1">
      <c r="A25" s="403" t="s">
        <v>35</v>
      </c>
      <c r="B25" s="376">
        <f>Eelarvearuanne!H38</f>
        <v>2337065.52</v>
      </c>
      <c r="C25" s="404">
        <f>Eelarvearuanne!D38</f>
        <v>813000</v>
      </c>
      <c r="D25" s="400">
        <f>D89</f>
        <v>1643000</v>
      </c>
      <c r="E25" s="400">
        <f>E89</f>
        <v>1900000</v>
      </c>
      <c r="F25" s="400">
        <f>F89</f>
        <v>0</v>
      </c>
      <c r="G25" s="401">
        <f>G89</f>
        <v>300000</v>
      </c>
      <c r="H25" s="371" t="s">
        <v>421</v>
      </c>
      <c r="I25" s="371"/>
      <c r="J25" s="371"/>
      <c r="K25" s="371"/>
      <c r="L25" s="371"/>
      <c r="M25" s="371" t="s">
        <v>521</v>
      </c>
    </row>
    <row r="26" spans="1:13" ht="12.75" customHeight="1">
      <c r="A26" s="397" t="s">
        <v>36</v>
      </c>
      <c r="B26" s="376">
        <f>Eelarvearuanne!H39</f>
        <v>-189511.74</v>
      </c>
      <c r="C26" s="376">
        <f>Eelarvearuanne!D39</f>
        <v>-737975</v>
      </c>
      <c r="D26" s="377">
        <v>-722315</v>
      </c>
      <c r="E26" s="377">
        <v>-724004</v>
      </c>
      <c r="F26" s="377">
        <v>-691132</v>
      </c>
      <c r="G26" s="378">
        <v>-764359</v>
      </c>
      <c r="H26" s="405" t="s">
        <v>407</v>
      </c>
      <c r="I26" s="367"/>
      <c r="J26" s="367"/>
      <c r="K26" s="367"/>
      <c r="L26" s="367"/>
      <c r="M26" s="367"/>
    </row>
    <row r="27" spans="1:13" ht="12.75" customHeight="1">
      <c r="A27" s="406" t="s">
        <v>37</v>
      </c>
      <c r="B27" s="376">
        <f>Eelarvearuanne!H40+Eelarvearuanne!H42</f>
        <v>117.6</v>
      </c>
      <c r="C27" s="376">
        <f>Eelarvearuanne!D40+Eelarvearuanne!D42</f>
        <v>0</v>
      </c>
      <c r="D27" s="377"/>
      <c r="E27" s="377"/>
      <c r="F27" s="377"/>
      <c r="G27" s="378"/>
      <c r="H27" s="405"/>
      <c r="I27" s="405"/>
      <c r="J27" s="371"/>
      <c r="K27" s="367"/>
      <c r="L27" s="367"/>
      <c r="M27" s="367"/>
    </row>
    <row r="28" spans="1:13" ht="12.75" customHeight="1">
      <c r="A28" s="406" t="s">
        <v>38</v>
      </c>
      <c r="B28" s="376">
        <f>Eelarvearuanne!H41+Eelarvearuanne!H43</f>
        <v>-17200</v>
      </c>
      <c r="C28" s="376">
        <f>Eelarvearuanne!D41+Eelarvearuanne!D43</f>
        <v>0</v>
      </c>
      <c r="D28" s="377"/>
      <c r="E28" s="377"/>
      <c r="F28" s="377"/>
      <c r="G28" s="378"/>
      <c r="H28" s="405"/>
      <c r="I28" s="367"/>
      <c r="J28" s="367"/>
      <c r="K28" s="367"/>
      <c r="L28" s="367"/>
      <c r="M28" s="367"/>
    </row>
    <row r="29" spans="1:13" ht="12.75" customHeight="1">
      <c r="A29" s="407" t="s">
        <v>39</v>
      </c>
      <c r="B29" s="408">
        <f>Eelarvearuanne!H44</f>
        <v>0</v>
      </c>
      <c r="C29" s="408">
        <f>Eelarvearuanne!D44</f>
        <v>0</v>
      </c>
      <c r="D29" s="377"/>
      <c r="E29" s="377"/>
      <c r="F29" s="377"/>
      <c r="G29" s="378"/>
      <c r="H29" s="367"/>
      <c r="I29" s="367"/>
      <c r="J29" s="367"/>
      <c r="K29" s="367"/>
      <c r="L29" s="367"/>
      <c r="M29" s="367"/>
    </row>
    <row r="30" spans="1:13" ht="12.75" customHeight="1">
      <c r="A30" s="406" t="s">
        <v>40</v>
      </c>
      <c r="B30" s="376">
        <f>Eelarvearuanne!H45</f>
        <v>0</v>
      </c>
      <c r="C30" s="376">
        <f>Eelarvearuanne!D45</f>
        <v>0</v>
      </c>
      <c r="D30" s="409"/>
      <c r="E30" s="377"/>
      <c r="F30" s="377"/>
      <c r="G30" s="378"/>
      <c r="H30" s="367" t="s">
        <v>327</v>
      </c>
      <c r="I30" s="367"/>
      <c r="J30" s="367"/>
      <c r="K30" s="367"/>
      <c r="L30" s="367"/>
      <c r="M30" s="367"/>
    </row>
    <row r="31" spans="1:13" ht="12.75" customHeight="1">
      <c r="A31" s="410" t="s">
        <v>176</v>
      </c>
      <c r="B31" s="411">
        <f>Eelarvearuanne!H46</f>
        <v>953.7</v>
      </c>
      <c r="C31" s="411">
        <f>Eelarvearuanne!D46</f>
        <v>0</v>
      </c>
      <c r="D31" s="377"/>
      <c r="E31" s="377"/>
      <c r="F31" s="377"/>
      <c r="G31" s="378"/>
      <c r="H31" s="367" t="s">
        <v>411</v>
      </c>
      <c r="I31" s="367"/>
      <c r="J31" s="367"/>
      <c r="K31" s="367"/>
      <c r="L31" s="367"/>
      <c r="M31" s="367"/>
    </row>
    <row r="32" spans="1:13" ht="15">
      <c r="A32" s="410" t="s">
        <v>177</v>
      </c>
      <c r="B32" s="376">
        <f>Eelarvearuanne!H47</f>
        <v>-52853.66</v>
      </c>
      <c r="C32" s="376">
        <f>Eelarvearuanne!D47</f>
        <v>-98990</v>
      </c>
      <c r="D32" s="377">
        <v>-78522</v>
      </c>
      <c r="E32" s="377">
        <v>-75000</v>
      </c>
      <c r="F32" s="377">
        <v>-80000</v>
      </c>
      <c r="G32" s="378">
        <v>-80000</v>
      </c>
      <c r="H32" s="367"/>
      <c r="I32" s="367"/>
      <c r="J32" s="367"/>
      <c r="K32" s="367"/>
      <c r="L32" s="367"/>
      <c r="M32" s="367"/>
    </row>
    <row r="33" spans="1:13" ht="15">
      <c r="A33" s="396" t="s">
        <v>3</v>
      </c>
      <c r="B33" s="383">
        <f aca="true" t="shared" si="9" ref="B33:G33">B20+B21</f>
        <v>-6285752.549999997</v>
      </c>
      <c r="C33" s="384">
        <f t="shared" si="9"/>
        <v>-1630503</v>
      </c>
      <c r="D33" s="384">
        <f>D20+D21</f>
        <v>-2279387.66</v>
      </c>
      <c r="E33" s="384">
        <f t="shared" si="9"/>
        <v>-1843139.6996</v>
      </c>
      <c r="F33" s="384">
        <f>F20+F21</f>
        <v>849572.3984239995</v>
      </c>
      <c r="G33" s="385">
        <f t="shared" si="9"/>
        <v>-2971938.312470559</v>
      </c>
      <c r="H33" s="412"/>
      <c r="I33" s="367"/>
      <c r="J33" s="367"/>
      <c r="K33" s="367"/>
      <c r="L33" s="367"/>
      <c r="M33" s="367"/>
    </row>
    <row r="34" spans="1:13" ht="15">
      <c r="A34" s="396" t="s">
        <v>4</v>
      </c>
      <c r="B34" s="383">
        <f aca="true" t="shared" si="10" ref="B34:G34">B35+B36</f>
        <v>7245804.52</v>
      </c>
      <c r="C34" s="384">
        <f t="shared" si="10"/>
        <v>2017553</v>
      </c>
      <c r="D34" s="384">
        <f t="shared" si="10"/>
        <v>2422401</v>
      </c>
      <c r="E34" s="384">
        <f t="shared" si="10"/>
        <v>2333045</v>
      </c>
      <c r="F34" s="384">
        <f t="shared" si="10"/>
        <v>-1694689</v>
      </c>
      <c r="G34" s="385">
        <f t="shared" si="10"/>
        <v>3412108</v>
      </c>
      <c r="H34" s="367"/>
      <c r="I34" s="367"/>
      <c r="J34" s="367"/>
      <c r="K34" s="367"/>
      <c r="L34" s="367"/>
      <c r="M34" s="367"/>
    </row>
    <row r="35" spans="1:13" ht="15">
      <c r="A35" s="413" t="s">
        <v>447</v>
      </c>
      <c r="B35" s="376">
        <f>Eelarvearuanne!H50</f>
        <v>8000000</v>
      </c>
      <c r="C35" s="376">
        <f>Eelarvearuanne!D50</f>
        <v>3500000</v>
      </c>
      <c r="D35" s="377">
        <v>4000000</v>
      </c>
      <c r="E35" s="377">
        <v>4000000</v>
      </c>
      <c r="F35" s="377"/>
      <c r="G35" s="378">
        <v>5000000</v>
      </c>
      <c r="H35" s="372" t="s">
        <v>409</v>
      </c>
      <c r="I35" s="372"/>
      <c r="J35" s="372"/>
      <c r="K35" s="371"/>
      <c r="L35" s="367"/>
      <c r="M35" s="367"/>
    </row>
    <row r="36" spans="1:13" ht="15">
      <c r="A36" s="413" t="s">
        <v>448</v>
      </c>
      <c r="B36" s="376">
        <f>Eelarvearuanne!H51</f>
        <v>-754195.48</v>
      </c>
      <c r="C36" s="376">
        <f>Eelarvearuanne!D51</f>
        <v>-1482447</v>
      </c>
      <c r="D36" s="377">
        <v>-1577599</v>
      </c>
      <c r="E36" s="377">
        <v>-1666955</v>
      </c>
      <c r="F36" s="377">
        <v>-1694689</v>
      </c>
      <c r="G36" s="378">
        <v>-1587892</v>
      </c>
      <c r="H36" s="371"/>
      <c r="I36" s="371"/>
      <c r="J36" s="367"/>
      <c r="K36" s="367"/>
      <c r="L36" s="367"/>
      <c r="M36" s="367"/>
    </row>
    <row r="37" spans="1:13" ht="42.75">
      <c r="A37" s="414" t="s">
        <v>44</v>
      </c>
      <c r="B37" s="376">
        <f>Eelarvearuanne!H52</f>
        <v>710591</v>
      </c>
      <c r="C37" s="415">
        <f>Eelarvearuanne!D52</f>
        <v>5000</v>
      </c>
      <c r="D37" s="416">
        <f>D33+D34+D38</f>
        <v>143013.33999999985</v>
      </c>
      <c r="E37" s="417">
        <f>E33+E34+E38</f>
        <v>489905.30040000007</v>
      </c>
      <c r="F37" s="418">
        <f>F33+F34+F38</f>
        <v>-845116.6015760005</v>
      </c>
      <c r="G37" s="419">
        <f>G33+G34+G38</f>
        <v>440169.68752944097</v>
      </c>
      <c r="H37" s="412" t="s">
        <v>464</v>
      </c>
      <c r="I37" s="367"/>
      <c r="J37" s="367"/>
      <c r="K37" s="367"/>
      <c r="L37" s="367"/>
      <c r="M37" s="367"/>
    </row>
    <row r="38" spans="1:13" ht="42.75">
      <c r="A38" s="414" t="s">
        <v>449</v>
      </c>
      <c r="B38" s="376">
        <f>Eelarvearuanne!H53</f>
        <v>-249460.97</v>
      </c>
      <c r="C38" s="376">
        <f>Eelarvearuanne!D53</f>
        <v>-382050</v>
      </c>
      <c r="D38" s="374">
        <f>D39+D40</f>
        <v>0</v>
      </c>
      <c r="E38" s="374">
        <f>E39+E40</f>
        <v>0</v>
      </c>
      <c r="F38" s="374">
        <f>F39+F40</f>
        <v>0</v>
      </c>
      <c r="G38" s="375">
        <f>G39+G40</f>
        <v>0</v>
      </c>
      <c r="H38" s="420" t="s">
        <v>455</v>
      </c>
      <c r="I38" s="367"/>
      <c r="J38" s="367"/>
      <c r="K38" s="367"/>
      <c r="L38" s="367"/>
      <c r="M38" s="367"/>
    </row>
    <row r="39" spans="1:13" ht="45">
      <c r="A39" s="421" t="s">
        <v>446</v>
      </c>
      <c r="B39" s="376"/>
      <c r="C39" s="376"/>
      <c r="D39" s="422"/>
      <c r="E39" s="422"/>
      <c r="F39" s="422"/>
      <c r="G39" s="423"/>
      <c r="H39" s="394"/>
      <c r="I39" s="394"/>
      <c r="J39" s="367"/>
      <c r="K39" s="367"/>
      <c r="L39" s="367"/>
      <c r="M39" s="367"/>
    </row>
    <row r="40" spans="1:13" ht="15">
      <c r="A40" s="424" t="s">
        <v>450</v>
      </c>
      <c r="B40" s="425"/>
      <c r="C40" s="425"/>
      <c r="D40" s="377"/>
      <c r="E40" s="377"/>
      <c r="F40" s="377"/>
      <c r="G40" s="378"/>
      <c r="H40" s="426" t="s">
        <v>445</v>
      </c>
      <c r="I40" s="426"/>
      <c r="J40" s="426"/>
      <c r="K40" s="426"/>
      <c r="L40" s="426"/>
      <c r="M40" s="426"/>
    </row>
    <row r="41" spans="1:13" ht="13.5" customHeight="1">
      <c r="A41" s="427" t="s">
        <v>7</v>
      </c>
      <c r="B41" s="428">
        <f>Eelarvearuanne!H158</f>
        <v>710591</v>
      </c>
      <c r="C41" s="429">
        <f>B41+C37</f>
        <v>715591</v>
      </c>
      <c r="D41" s="430">
        <f>C41+D37</f>
        <v>858604.3399999999</v>
      </c>
      <c r="E41" s="431">
        <f>D41+E37</f>
        <v>1348509.6404</v>
      </c>
      <c r="F41" s="432">
        <f>E41+F37</f>
        <v>503393.03882399946</v>
      </c>
      <c r="G41" s="433">
        <f>F41+G37</f>
        <v>943562.7263534404</v>
      </c>
      <c r="H41" s="412" t="s">
        <v>403</v>
      </c>
      <c r="I41" s="367"/>
      <c r="J41" s="367"/>
      <c r="K41" s="367"/>
      <c r="L41" s="367"/>
      <c r="M41" s="367"/>
    </row>
    <row r="42" spans="1:13" ht="28.5">
      <c r="A42" s="414" t="s">
        <v>452</v>
      </c>
      <c r="B42" s="434">
        <f>Eelarvearuanne!H156</f>
        <v>12378946.11</v>
      </c>
      <c r="C42" s="404">
        <f>B42+C34+C43-B43</f>
        <v>15952412.11</v>
      </c>
      <c r="D42" s="404">
        <f>C42+D34+D43-C43</f>
        <v>17847700.11</v>
      </c>
      <c r="E42" s="404">
        <f>D42+E34+E43-D43</f>
        <v>19649095.11</v>
      </c>
      <c r="F42" s="404">
        <f>E42+F34+F43-E43</f>
        <v>17538104.11</v>
      </c>
      <c r="G42" s="435">
        <f>F42+G34+G43-F43</f>
        <v>20579547.11</v>
      </c>
      <c r="H42" s="372"/>
      <c r="I42" s="371"/>
      <c r="J42" s="371"/>
      <c r="K42" s="367"/>
      <c r="L42" s="367"/>
      <c r="M42" s="367"/>
    </row>
    <row r="43" spans="1:14" s="293" customFormat="1" ht="34.5" customHeight="1">
      <c r="A43" s="436" t="s">
        <v>442</v>
      </c>
      <c r="B43" s="389">
        <v>2683189</v>
      </c>
      <c r="C43" s="389">
        <v>4239102</v>
      </c>
      <c r="D43" s="390">
        <v>3711989</v>
      </c>
      <c r="E43" s="390">
        <v>3180339</v>
      </c>
      <c r="F43" s="390">
        <v>2764037</v>
      </c>
      <c r="G43" s="391">
        <v>2393372</v>
      </c>
      <c r="H43" s="394"/>
      <c r="I43" s="100"/>
      <c r="J43" s="100"/>
      <c r="K43" s="100"/>
      <c r="L43" s="100"/>
      <c r="M43" s="100"/>
      <c r="N43" s="545"/>
    </row>
    <row r="44" spans="1:14" ht="45">
      <c r="A44" s="436" t="s">
        <v>451</v>
      </c>
      <c r="B44" s="437">
        <f>Eelarvearuanne!H157</f>
        <v>0</v>
      </c>
      <c r="C44" s="437">
        <f>Eelarvearuanne!D157</f>
        <v>0</v>
      </c>
      <c r="D44" s="377"/>
      <c r="E44" s="377"/>
      <c r="F44" s="377"/>
      <c r="G44" s="438"/>
      <c r="H44" s="371"/>
      <c r="I44" s="371"/>
      <c r="J44" s="371"/>
      <c r="K44" s="439"/>
      <c r="L44" s="439"/>
      <c r="M44" s="371"/>
      <c r="N44" s="293"/>
    </row>
    <row r="45" spans="1:13" ht="28.5">
      <c r="A45" s="414" t="s">
        <v>522</v>
      </c>
      <c r="B45" s="380">
        <f aca="true" t="shared" si="11" ref="B45:G45">IF(B42-B41&lt;0,0,B42-B41)</f>
        <v>11668355.11</v>
      </c>
      <c r="C45" s="380">
        <f>IF(C42-C41&lt;0,0,C42-C41)</f>
        <v>15236821.11</v>
      </c>
      <c r="D45" s="380">
        <f t="shared" si="11"/>
        <v>16989095.77</v>
      </c>
      <c r="E45" s="380">
        <f t="shared" si="11"/>
        <v>18300585.4696</v>
      </c>
      <c r="F45" s="380">
        <f t="shared" si="11"/>
        <v>17034711.071176</v>
      </c>
      <c r="G45" s="375">
        <f t="shared" si="11"/>
        <v>19635984.38364656</v>
      </c>
      <c r="H45" s="412"/>
      <c r="I45" s="367"/>
      <c r="J45" s="367"/>
      <c r="K45" s="367"/>
      <c r="L45" s="367"/>
      <c r="M45" s="367"/>
    </row>
    <row r="46" spans="1:13" ht="15">
      <c r="A46" s="414" t="s">
        <v>523</v>
      </c>
      <c r="B46" s="440">
        <f aca="true" t="shared" si="12" ref="B46:G46">B45/B2</f>
        <v>0.5624856469412987</v>
      </c>
      <c r="C46" s="441">
        <f>C45/C2</f>
        <v>0.723789212834719</v>
      </c>
      <c r="D46" s="441">
        <f t="shared" si="12"/>
        <v>0.7642607565374806</v>
      </c>
      <c r="E46" s="441">
        <f t="shared" si="12"/>
        <v>0.7890715801529619</v>
      </c>
      <c r="F46" s="441">
        <f t="shared" si="12"/>
        <v>0.7000601820437742</v>
      </c>
      <c r="G46" s="442">
        <f t="shared" si="12"/>
        <v>0.7764563694040607</v>
      </c>
      <c r="H46" s="367"/>
      <c r="I46" s="367"/>
      <c r="J46" s="367"/>
      <c r="K46" s="367"/>
      <c r="L46" s="367"/>
      <c r="M46" s="367"/>
    </row>
    <row r="47" spans="1:13" ht="28.5">
      <c r="A47" s="414" t="s">
        <v>524</v>
      </c>
      <c r="B47" s="380">
        <f>IF((B20+B18)*10&gt;B2,B2+B44,IF((B20+B18)*10&lt;0.8*B2,0.8*B2+B44,(B20+B18)*10+B44))</f>
        <v>20744271.740000002</v>
      </c>
      <c r="C47" s="380">
        <f>IF((C20+C18)*10&gt;C2,C2+C44,IF((C20+C18)*10&lt;0.8*C2,0.8*C2+C44,(C20+C18)*10+C44))</f>
        <v>21051462</v>
      </c>
      <c r="D47" s="380">
        <f>IF((D20+D18)*10&gt;D2,D2+D44,IF((D20+D18)*10&lt;0.8*D2,0.8*D2+D44,(D20+D18)*10+D44))</f>
        <v>22229449.34</v>
      </c>
      <c r="E47" s="380">
        <f>IF((E20+E18)*10&gt;E2,E2+E44,IF((E20+E18)*10&lt;0.8*E2,0.8*E2+E44,(E20+E18)*10+E44))</f>
        <v>23192554.3004</v>
      </c>
      <c r="F47" s="380">
        <f>IF((F20+F18)*10&gt;F2,F2+F44,IF((F20+F18)*10&lt;0.8*F2,0.8*F2+F44,(F20+F18)*10+F44))</f>
        <v>24333209.498424</v>
      </c>
      <c r="G47" s="375">
        <f>IF((G20+G18)*9&gt;G2,G2+G44,IF((G20+G18)*9&lt;0.75*G2,0.75*G2+G44,(G20+G18)*9+G44))</f>
        <v>25289230.866529442</v>
      </c>
      <c r="H47" s="443" t="s">
        <v>460</v>
      </c>
      <c r="I47" s="443"/>
      <c r="J47" s="367"/>
      <c r="K47" s="367"/>
      <c r="L47" s="367"/>
      <c r="M47" s="367"/>
    </row>
    <row r="48" spans="1:16" ht="13.5" customHeight="1">
      <c r="A48" s="414" t="s">
        <v>525</v>
      </c>
      <c r="B48" s="441">
        <f aca="true" t="shared" si="13" ref="B48:G48">B47/B2</f>
        <v>1</v>
      </c>
      <c r="C48" s="441">
        <f t="shared" si="13"/>
        <v>1</v>
      </c>
      <c r="D48" s="441">
        <f t="shared" si="13"/>
        <v>1</v>
      </c>
      <c r="E48" s="441">
        <f t="shared" si="13"/>
        <v>1</v>
      </c>
      <c r="F48" s="441">
        <f t="shared" si="13"/>
        <v>1</v>
      </c>
      <c r="G48" s="442">
        <f t="shared" si="13"/>
        <v>1</v>
      </c>
      <c r="H48" s="260"/>
      <c r="I48" s="260"/>
      <c r="J48" s="260"/>
      <c r="K48" s="372"/>
      <c r="L48" s="372"/>
      <c r="M48" s="372"/>
      <c r="N48" s="262"/>
      <c r="O48" s="262"/>
      <c r="P48" s="262"/>
    </row>
    <row r="49" spans="1:13" ht="28.5">
      <c r="A49" s="414" t="s">
        <v>50</v>
      </c>
      <c r="B49" s="374">
        <f aca="true" t="shared" si="14" ref="B49:G49">B47-B45</f>
        <v>9075916.630000003</v>
      </c>
      <c r="C49" s="374">
        <f t="shared" si="14"/>
        <v>5814640.890000001</v>
      </c>
      <c r="D49" s="374">
        <f t="shared" si="14"/>
        <v>5240353.57</v>
      </c>
      <c r="E49" s="374">
        <f t="shared" si="14"/>
        <v>4891968.830800001</v>
      </c>
      <c r="F49" s="374">
        <f t="shared" si="14"/>
        <v>7298498.427248001</v>
      </c>
      <c r="G49" s="375">
        <f t="shared" si="14"/>
        <v>5653246.482882883</v>
      </c>
      <c r="H49" s="372"/>
      <c r="I49" s="372"/>
      <c r="J49" s="372"/>
      <c r="K49" s="367"/>
      <c r="L49" s="367"/>
      <c r="M49" s="367"/>
    </row>
    <row r="50" spans="1:7" ht="12.75">
      <c r="A50" s="301"/>
      <c r="B50" s="302"/>
      <c r="C50" s="303"/>
      <c r="D50" s="303"/>
      <c r="E50" s="303"/>
      <c r="F50" s="303"/>
      <c r="G50" s="304"/>
    </row>
    <row r="51" spans="1:9" s="297" customFormat="1" ht="13.5" thickBot="1">
      <c r="A51" s="305" t="s">
        <v>8</v>
      </c>
      <c r="B51" s="306">
        <f aca="true" t="shared" si="15" ref="B51:G51">B33+B34-B37+B38</f>
        <v>2.5320332497358322E-09</v>
      </c>
      <c r="C51" s="306">
        <f t="shared" si="15"/>
        <v>0</v>
      </c>
      <c r="D51" s="306">
        <f t="shared" si="15"/>
        <v>0</v>
      </c>
      <c r="E51" s="306">
        <f t="shared" si="15"/>
        <v>0</v>
      </c>
      <c r="F51" s="306">
        <f t="shared" si="15"/>
        <v>0</v>
      </c>
      <c r="G51" s="307">
        <f t="shared" si="15"/>
        <v>0</v>
      </c>
      <c r="H51" s="262" t="s">
        <v>301</v>
      </c>
      <c r="I51" s="308"/>
    </row>
    <row r="52" spans="1:8" s="312" customFormat="1" ht="11.25">
      <c r="A52" s="309" t="s">
        <v>453</v>
      </c>
      <c r="B52" s="310" t="str">
        <f aca="true" t="shared" si="16" ref="B52:G52">IF((-B24-B26-B28-B30)&lt;B35,"FALSE","OK")</f>
        <v>OK</v>
      </c>
      <c r="C52" s="310" t="str">
        <f t="shared" si="16"/>
        <v>OK</v>
      </c>
      <c r="D52" s="310" t="str">
        <f t="shared" si="16"/>
        <v>OK</v>
      </c>
      <c r="E52" s="310" t="str">
        <f t="shared" si="16"/>
        <v>OK</v>
      </c>
      <c r="F52" s="310" t="str">
        <f t="shared" si="16"/>
        <v>OK</v>
      </c>
      <c r="G52" s="310" t="str">
        <f t="shared" si="16"/>
        <v>OK</v>
      </c>
      <c r="H52" s="311" t="s">
        <v>427</v>
      </c>
    </row>
    <row r="53" spans="1:7" ht="12.75">
      <c r="A53" s="313" t="s">
        <v>197</v>
      </c>
      <c r="B53" s="314" t="s">
        <v>200</v>
      </c>
      <c r="C53" s="315">
        <f>C2/B2-1</f>
        <v>0.014808437907591676</v>
      </c>
      <c r="D53" s="315">
        <f>D2/C2-1</f>
        <v>0.055957507369321924</v>
      </c>
      <c r="E53" s="315">
        <f>E2/D2-1</f>
        <v>0.0433256328426892</v>
      </c>
      <c r="F53" s="315">
        <f>F2/E2-1</f>
        <v>0.04918195655595925</v>
      </c>
      <c r="G53" s="315">
        <f>G2/F2-1</f>
        <v>0.039288749318800775</v>
      </c>
    </row>
    <row r="54" spans="1:7" ht="12.75">
      <c r="A54" s="313" t="s">
        <v>198</v>
      </c>
      <c r="B54" s="314" t="s">
        <v>200</v>
      </c>
      <c r="C54" s="315">
        <f>C13/B13-1</f>
        <v>0.05950377816224428</v>
      </c>
      <c r="D54" s="315">
        <f>D13/C13-1</f>
        <v>0.047958297132927985</v>
      </c>
      <c r="E54" s="315">
        <f>E13/D13-1</f>
        <v>0.04055104183938529</v>
      </c>
      <c r="F54" s="315">
        <f>F13/E13-1</f>
        <v>0.0443952229520963</v>
      </c>
      <c r="G54" s="315">
        <f>G13/F13-1</f>
        <v>0.044465599604599726</v>
      </c>
    </row>
    <row r="55" spans="1:7" ht="25.5">
      <c r="A55" s="313" t="s">
        <v>199</v>
      </c>
      <c r="B55" s="316">
        <f aca="true" t="shared" si="17" ref="B55:G55">B2/B13</f>
        <v>1.2730167555027092</v>
      </c>
      <c r="C55" s="316">
        <f t="shared" si="17"/>
        <v>1.219314335360556</v>
      </c>
      <c r="D55" s="316">
        <f t="shared" si="17"/>
        <v>1.2286215298734318</v>
      </c>
      <c r="E55" s="316">
        <f t="shared" si="17"/>
        <v>1.231897603901695</v>
      </c>
      <c r="F55" s="316">
        <f t="shared" si="17"/>
        <v>1.2375437094444288</v>
      </c>
      <c r="G55" s="316">
        <f t="shared" si="17"/>
        <v>1.2314098755408982</v>
      </c>
    </row>
    <row r="56" s="95" customFormat="1" ht="25.5" customHeight="1" thickBot="1"/>
    <row r="57" spans="1:13" ht="42.75" customHeight="1" thickBot="1">
      <c r="A57" s="317" t="s">
        <v>412</v>
      </c>
      <c r="B57" s="291"/>
      <c r="C57" s="291" t="s">
        <v>458</v>
      </c>
      <c r="D57" s="291" t="s">
        <v>428</v>
      </c>
      <c r="E57" s="291" t="s">
        <v>441</v>
      </c>
      <c r="F57" s="291" t="s">
        <v>454</v>
      </c>
      <c r="G57" s="291" t="s">
        <v>459</v>
      </c>
      <c r="H57" s="563" t="s">
        <v>354</v>
      </c>
      <c r="I57" s="564"/>
      <c r="J57" s="564"/>
      <c r="K57" s="564"/>
      <c r="L57" s="564"/>
      <c r="M57" s="564"/>
    </row>
    <row r="58" spans="1:13" ht="12.75">
      <c r="A58" s="318" t="s">
        <v>187</v>
      </c>
      <c r="B58" s="319"/>
      <c r="C58" s="319">
        <f>+C59+C60</f>
        <v>0</v>
      </c>
      <c r="D58" s="319">
        <f>+D59+D60</f>
        <v>900000</v>
      </c>
      <c r="E58" s="319">
        <f>+E59+E60</f>
        <v>0</v>
      </c>
      <c r="F58" s="319">
        <f>+F59+F60</f>
        <v>0</v>
      </c>
      <c r="G58" s="319">
        <f>+G59+G60</f>
        <v>0</v>
      </c>
      <c r="H58" s="320" t="s">
        <v>425</v>
      </c>
      <c r="I58" s="321"/>
      <c r="J58" s="300"/>
      <c r="K58" s="300"/>
      <c r="L58" s="293"/>
      <c r="M58" s="293"/>
    </row>
    <row r="59" spans="1:13" ht="12.75">
      <c r="A59" s="322" t="s">
        <v>205</v>
      </c>
      <c r="B59" s="296"/>
      <c r="C59" s="323">
        <f aca="true" t="shared" si="18" ref="C59:G60">+C96</f>
        <v>0</v>
      </c>
      <c r="D59" s="323">
        <f t="shared" si="18"/>
        <v>400000</v>
      </c>
      <c r="E59" s="323">
        <f t="shared" si="18"/>
        <v>0</v>
      </c>
      <c r="F59" s="323">
        <f t="shared" si="18"/>
        <v>0</v>
      </c>
      <c r="G59" s="323">
        <f t="shared" si="18"/>
        <v>0</v>
      </c>
      <c r="H59" s="262"/>
      <c r="I59" s="293"/>
      <c r="J59" s="293"/>
      <c r="K59" s="293"/>
      <c r="L59" s="293"/>
      <c r="M59" s="293"/>
    </row>
    <row r="60" spans="1:8" ht="22.5">
      <c r="A60" s="322" t="s">
        <v>308</v>
      </c>
      <c r="B60" s="296"/>
      <c r="C60" s="323">
        <f t="shared" si="18"/>
        <v>0</v>
      </c>
      <c r="D60" s="323">
        <f t="shared" si="18"/>
        <v>500000</v>
      </c>
      <c r="E60" s="323">
        <f t="shared" si="18"/>
        <v>0</v>
      </c>
      <c r="F60" s="323">
        <f t="shared" si="18"/>
        <v>0</v>
      </c>
      <c r="G60" s="323">
        <f t="shared" si="18"/>
        <v>0</v>
      </c>
      <c r="H60" s="292" t="s">
        <v>307</v>
      </c>
    </row>
    <row r="61" spans="1:7" ht="13.5" customHeight="1">
      <c r="A61" s="318" t="s">
        <v>188</v>
      </c>
      <c r="B61" s="319"/>
      <c r="C61" s="319">
        <f>SUM(C62:C63)</f>
        <v>0</v>
      </c>
      <c r="D61" s="319">
        <f>SUM(D62:D63)</f>
        <v>0</v>
      </c>
      <c r="E61" s="319">
        <f>SUM(E62:E63)</f>
        <v>0</v>
      </c>
      <c r="F61" s="319">
        <f>SUM(F62:F63)</f>
        <v>0</v>
      </c>
      <c r="G61" s="324">
        <f>SUM(G62:G63)</f>
        <v>0</v>
      </c>
    </row>
    <row r="62" spans="1:7" ht="13.5" customHeight="1">
      <c r="A62" s="322" t="s">
        <v>205</v>
      </c>
      <c r="B62" s="296"/>
      <c r="C62" s="323"/>
      <c r="D62" s="323"/>
      <c r="E62" s="294"/>
      <c r="F62" s="294"/>
      <c r="G62" s="295"/>
    </row>
    <row r="63" spans="1:7" ht="13.5" customHeight="1">
      <c r="A63" s="322" t="s">
        <v>308</v>
      </c>
      <c r="B63" s="296"/>
      <c r="C63" s="323"/>
      <c r="D63" s="323"/>
      <c r="E63" s="294"/>
      <c r="F63" s="294"/>
      <c r="G63" s="295"/>
    </row>
    <row r="64" spans="1:7" ht="13.5" customHeight="1">
      <c r="A64" s="318" t="s">
        <v>189</v>
      </c>
      <c r="B64" s="319"/>
      <c r="C64" s="319">
        <f>SUM(C65:C66)</f>
        <v>0</v>
      </c>
      <c r="D64" s="319">
        <f>SUM(D65:D66)</f>
        <v>0</v>
      </c>
      <c r="E64" s="319">
        <f>SUM(E65:E66)</f>
        <v>0</v>
      </c>
      <c r="F64" s="319">
        <f>SUM(F65:F66)</f>
        <v>0</v>
      </c>
      <c r="G64" s="324">
        <f>SUM(G65:G66)</f>
        <v>0</v>
      </c>
    </row>
    <row r="65" spans="1:7" ht="13.5" customHeight="1">
      <c r="A65" s="322" t="s">
        <v>205</v>
      </c>
      <c r="B65" s="296"/>
      <c r="C65" s="323"/>
      <c r="D65" s="323"/>
      <c r="E65" s="294"/>
      <c r="F65" s="294"/>
      <c r="G65" s="295"/>
    </row>
    <row r="66" spans="1:7" ht="13.5" customHeight="1">
      <c r="A66" s="322" t="s">
        <v>308</v>
      </c>
      <c r="B66" s="296"/>
      <c r="C66" s="323"/>
      <c r="D66" s="323"/>
      <c r="E66" s="294"/>
      <c r="F66" s="294"/>
      <c r="G66" s="295"/>
    </row>
    <row r="67" spans="1:8" ht="13.5" customHeight="1">
      <c r="A67" s="318" t="s">
        <v>190</v>
      </c>
      <c r="B67" s="319"/>
      <c r="C67" s="319">
        <f>SUM(C68:C69)</f>
        <v>1520000</v>
      </c>
      <c r="D67" s="319">
        <f>SUM(D68:D69)</f>
        <v>1505000</v>
      </c>
      <c r="E67" s="319">
        <f>SUM(E68:E69)</f>
        <v>1760000</v>
      </c>
      <c r="F67" s="319">
        <f>SUM(F68:F69)</f>
        <v>1010000</v>
      </c>
      <c r="G67" s="324">
        <f>SUM(G68:G69)</f>
        <v>1010000</v>
      </c>
      <c r="H67" s="325">
        <f>SUM(C67:G67)</f>
        <v>6805000</v>
      </c>
    </row>
    <row r="68" spans="1:8" ht="13.5" customHeight="1">
      <c r="A68" s="322" t="s">
        <v>205</v>
      </c>
      <c r="B68" s="296"/>
      <c r="C68" s="323">
        <f aca="true" t="shared" si="19" ref="C68:G69">+C99</f>
        <v>200000</v>
      </c>
      <c r="D68" s="323">
        <f t="shared" si="19"/>
        <v>100000</v>
      </c>
      <c r="E68" s="323">
        <f t="shared" si="19"/>
        <v>300000</v>
      </c>
      <c r="F68" s="323">
        <f t="shared" si="19"/>
        <v>0</v>
      </c>
      <c r="G68" s="323">
        <f t="shared" si="19"/>
        <v>0</v>
      </c>
      <c r="H68" s="293" t="s">
        <v>424</v>
      </c>
    </row>
    <row r="69" spans="1:21" ht="13.5" customHeight="1">
      <c r="A69" s="322" t="s">
        <v>308</v>
      </c>
      <c r="B69" s="296"/>
      <c r="C69" s="323">
        <f t="shared" si="19"/>
        <v>1320000</v>
      </c>
      <c r="D69" s="323">
        <f t="shared" si="19"/>
        <v>1405000</v>
      </c>
      <c r="E69" s="323">
        <f t="shared" si="19"/>
        <v>1460000</v>
      </c>
      <c r="F69" s="323">
        <f t="shared" si="19"/>
        <v>1010000</v>
      </c>
      <c r="G69" s="323">
        <f t="shared" si="19"/>
        <v>1010000</v>
      </c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</row>
    <row r="70" spans="1:21" ht="13.5" customHeight="1">
      <c r="A70" s="318" t="s">
        <v>191</v>
      </c>
      <c r="B70" s="296"/>
      <c r="C70" s="319">
        <f>SUM(C71:C72)</f>
        <v>0</v>
      </c>
      <c r="D70" s="319">
        <f>SUM(D71:D72)</f>
        <v>110000</v>
      </c>
      <c r="E70" s="319">
        <f>SUM(E71:E72)</f>
        <v>110000</v>
      </c>
      <c r="F70" s="319">
        <f>SUM(F71:F72)</f>
        <v>0</v>
      </c>
      <c r="G70" s="324">
        <f>SUM(G71:G72)</f>
        <v>0</v>
      </c>
      <c r="H70" s="326">
        <f>SUM(C70:G70)</f>
        <v>220000</v>
      </c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</row>
    <row r="71" spans="1:21" ht="13.5" customHeight="1">
      <c r="A71" s="322" t="s">
        <v>205</v>
      </c>
      <c r="B71" s="296"/>
      <c r="C71" s="294">
        <f aca="true" t="shared" si="20" ref="C71:G72">+C153</f>
        <v>0</v>
      </c>
      <c r="D71" s="294">
        <f t="shared" si="20"/>
        <v>100000</v>
      </c>
      <c r="E71" s="294">
        <f t="shared" si="20"/>
        <v>100000</v>
      </c>
      <c r="F71" s="294">
        <f t="shared" si="20"/>
        <v>0</v>
      </c>
      <c r="G71" s="294">
        <f t="shared" si="20"/>
        <v>0</v>
      </c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</row>
    <row r="72" spans="1:7" ht="22.5">
      <c r="A72" s="322" t="s">
        <v>308</v>
      </c>
      <c r="B72" s="296"/>
      <c r="C72" s="294">
        <f t="shared" si="20"/>
        <v>0</v>
      </c>
      <c r="D72" s="294">
        <f t="shared" si="20"/>
        <v>10000</v>
      </c>
      <c r="E72" s="294">
        <f t="shared" si="20"/>
        <v>10000</v>
      </c>
      <c r="F72" s="294">
        <f t="shared" si="20"/>
        <v>0</v>
      </c>
      <c r="G72" s="294">
        <f t="shared" si="20"/>
        <v>0</v>
      </c>
    </row>
    <row r="73" spans="1:8" ht="12.75">
      <c r="A73" s="318" t="s">
        <v>192</v>
      </c>
      <c r="B73" s="296"/>
      <c r="C73" s="319">
        <f>SUM(C74:C75)</f>
        <v>520000</v>
      </c>
      <c r="D73" s="319">
        <f>SUM(D74:D75)</f>
        <v>695000</v>
      </c>
      <c r="E73" s="319">
        <f>SUM(E74:E75)</f>
        <v>390000</v>
      </c>
      <c r="F73" s="319">
        <f>SUM(F74:F75)</f>
        <v>360000</v>
      </c>
      <c r="G73" s="324">
        <f>SUM(G74:G75)</f>
        <v>720000</v>
      </c>
      <c r="H73" s="326">
        <f>SUM(C73:G73)</f>
        <v>2685000</v>
      </c>
    </row>
    <row r="74" spans="1:7" ht="12.75">
      <c r="A74" s="322" t="s">
        <v>205</v>
      </c>
      <c r="B74" s="296"/>
      <c r="C74" s="294">
        <f aca="true" t="shared" si="21" ref="C74:G75">+C159</f>
        <v>0</v>
      </c>
      <c r="D74" s="294">
        <f t="shared" si="21"/>
        <v>95000</v>
      </c>
      <c r="E74" s="294">
        <f t="shared" si="21"/>
        <v>0</v>
      </c>
      <c r="F74" s="294">
        <f t="shared" si="21"/>
        <v>0</v>
      </c>
      <c r="G74" s="294">
        <f t="shared" si="21"/>
        <v>300000</v>
      </c>
    </row>
    <row r="75" spans="1:7" ht="22.5">
      <c r="A75" s="322" t="s">
        <v>308</v>
      </c>
      <c r="B75" s="296"/>
      <c r="C75" s="294">
        <f t="shared" si="21"/>
        <v>520000</v>
      </c>
      <c r="D75" s="294">
        <f t="shared" si="21"/>
        <v>600000</v>
      </c>
      <c r="E75" s="294">
        <f t="shared" si="21"/>
        <v>390000</v>
      </c>
      <c r="F75" s="294">
        <f t="shared" si="21"/>
        <v>360000</v>
      </c>
      <c r="G75" s="294">
        <f t="shared" si="21"/>
        <v>420000</v>
      </c>
    </row>
    <row r="76" spans="1:7" ht="12.75">
      <c r="A76" s="318" t="s">
        <v>193</v>
      </c>
      <c r="B76" s="296"/>
      <c r="C76" s="319">
        <f>SUM(C77:C78)</f>
        <v>0</v>
      </c>
      <c r="D76" s="319">
        <f>SUM(D77:D78)</f>
        <v>0</v>
      </c>
      <c r="E76" s="319">
        <f>SUM(E77:E78)</f>
        <v>0</v>
      </c>
      <c r="F76" s="319">
        <f>SUM(F77:F78)</f>
        <v>0</v>
      </c>
      <c r="G76" s="324">
        <f>SUM(G77:G78)</f>
        <v>0</v>
      </c>
    </row>
    <row r="77" spans="1:7" ht="12.75">
      <c r="A77" s="322" t="s">
        <v>205</v>
      </c>
      <c r="B77" s="296"/>
      <c r="C77" s="294"/>
      <c r="D77" s="294"/>
      <c r="E77" s="294"/>
      <c r="F77" s="294"/>
      <c r="G77" s="295"/>
    </row>
    <row r="78" spans="1:7" ht="22.5">
      <c r="A78" s="322" t="s">
        <v>308</v>
      </c>
      <c r="B78" s="296"/>
      <c r="C78" s="294"/>
      <c r="D78" s="294"/>
      <c r="E78" s="294"/>
      <c r="F78" s="294"/>
      <c r="G78" s="295"/>
    </row>
    <row r="79" spans="1:8" ht="12.75">
      <c r="A79" s="318" t="s">
        <v>194</v>
      </c>
      <c r="B79" s="296"/>
      <c r="C79" s="319">
        <f>SUM(C80:C81)</f>
        <v>2090000</v>
      </c>
      <c r="D79" s="319">
        <f>SUM(D80:D81)</f>
        <v>2040000</v>
      </c>
      <c r="E79" s="319">
        <f>SUM(E80:E81)</f>
        <v>600000</v>
      </c>
      <c r="F79" s="319">
        <f>SUM(F80:F81)</f>
        <v>850000</v>
      </c>
      <c r="G79" s="324">
        <f>SUM(G80:G81)</f>
        <v>450000</v>
      </c>
      <c r="H79" s="326">
        <f>SUM(C79:G79)</f>
        <v>6030000</v>
      </c>
    </row>
    <row r="80" spans="1:7" ht="12.75">
      <c r="A80" s="322" t="s">
        <v>205</v>
      </c>
      <c r="B80" s="296"/>
      <c r="C80" s="294">
        <f aca="true" t="shared" si="22" ref="C80:G81">+C174</f>
        <v>655000</v>
      </c>
      <c r="D80" s="294">
        <f t="shared" si="22"/>
        <v>435000</v>
      </c>
      <c r="E80" s="294">
        <f t="shared" si="22"/>
        <v>0</v>
      </c>
      <c r="F80" s="294">
        <f t="shared" si="22"/>
        <v>0</v>
      </c>
      <c r="G80" s="294">
        <f t="shared" si="22"/>
        <v>0</v>
      </c>
    </row>
    <row r="81" spans="1:7" ht="22.5">
      <c r="A81" s="322" t="s">
        <v>308</v>
      </c>
      <c r="B81" s="296"/>
      <c r="C81" s="294">
        <f t="shared" si="22"/>
        <v>1435000</v>
      </c>
      <c r="D81" s="294">
        <f t="shared" si="22"/>
        <v>1605000</v>
      </c>
      <c r="E81" s="294">
        <f t="shared" si="22"/>
        <v>600000</v>
      </c>
      <c r="F81" s="294">
        <f t="shared" si="22"/>
        <v>850000</v>
      </c>
      <c r="G81" s="294">
        <f t="shared" si="22"/>
        <v>450000</v>
      </c>
    </row>
    <row r="82" spans="1:8" ht="12.75">
      <c r="A82" s="318" t="s">
        <v>195</v>
      </c>
      <c r="B82" s="296"/>
      <c r="C82" s="319">
        <f>SUM(C83:C84)</f>
        <v>1463000</v>
      </c>
      <c r="D82" s="319">
        <f>SUM(D83:D84)</f>
        <v>2108000</v>
      </c>
      <c r="E82" s="319">
        <f>SUM(E83:E84)</f>
        <v>4500000</v>
      </c>
      <c r="F82" s="319">
        <f>SUM(F83:F84)</f>
        <v>880000</v>
      </c>
      <c r="G82" s="324">
        <f>SUM(G83:G84)</f>
        <v>5000000</v>
      </c>
      <c r="H82" s="326">
        <f>SUM(C82:G82)</f>
        <v>13951000</v>
      </c>
    </row>
    <row r="83" spans="1:7" ht="12.75">
      <c r="A83" s="322" t="s">
        <v>205</v>
      </c>
      <c r="B83" s="296"/>
      <c r="C83" s="294">
        <f aca="true" t="shared" si="23" ref="C83:G84">+C207</f>
        <v>173000</v>
      </c>
      <c r="D83" s="294">
        <f t="shared" si="23"/>
        <v>513000</v>
      </c>
      <c r="E83" s="294">
        <f t="shared" si="23"/>
        <v>1500000</v>
      </c>
      <c r="F83" s="294">
        <f t="shared" si="23"/>
        <v>0</v>
      </c>
      <c r="G83" s="294">
        <f t="shared" si="23"/>
        <v>0</v>
      </c>
    </row>
    <row r="84" spans="1:7" ht="12.75">
      <c r="A84" s="322" t="s">
        <v>308</v>
      </c>
      <c r="B84" s="296"/>
      <c r="C84" s="294">
        <f t="shared" si="23"/>
        <v>1290000</v>
      </c>
      <c r="D84" s="294">
        <f t="shared" si="23"/>
        <v>1595000</v>
      </c>
      <c r="E84" s="294">
        <f t="shared" si="23"/>
        <v>3000000</v>
      </c>
      <c r="F84" s="294">
        <f t="shared" si="23"/>
        <v>880000</v>
      </c>
      <c r="G84" s="294">
        <f t="shared" si="23"/>
        <v>5000000</v>
      </c>
    </row>
    <row r="85" spans="1:7" ht="12.75">
      <c r="A85" s="318" t="s">
        <v>196</v>
      </c>
      <c r="B85" s="319"/>
      <c r="C85" s="319">
        <f>SUM(C86:C87)</f>
        <v>0</v>
      </c>
      <c r="D85" s="319">
        <f>SUM(D86:D87)</f>
        <v>0</v>
      </c>
      <c r="E85" s="319">
        <f>SUM(E86:E87)</f>
        <v>0</v>
      </c>
      <c r="F85" s="319">
        <f>SUM(F86:F87)</f>
        <v>0</v>
      </c>
      <c r="G85" s="324">
        <f>SUM(G86:G87)</f>
        <v>0</v>
      </c>
    </row>
    <row r="86" spans="1:7" ht="12.75">
      <c r="A86" s="322" t="s">
        <v>205</v>
      </c>
      <c r="B86" s="296"/>
      <c r="C86" s="323"/>
      <c r="D86" s="323"/>
      <c r="E86" s="294"/>
      <c r="F86" s="294"/>
      <c r="G86" s="295"/>
    </row>
    <row r="87" spans="1:7" ht="12.75">
      <c r="A87" s="322" t="s">
        <v>308</v>
      </c>
      <c r="B87" s="296"/>
      <c r="C87" s="323"/>
      <c r="D87" s="323"/>
      <c r="E87" s="294"/>
      <c r="F87" s="294"/>
      <c r="G87" s="295"/>
    </row>
    <row r="88" spans="1:8" ht="12.75">
      <c r="A88" s="327" t="s">
        <v>6</v>
      </c>
      <c r="B88" s="328"/>
      <c r="C88" s="328">
        <f>SUM(C89:C90)</f>
        <v>5593000</v>
      </c>
      <c r="D88" s="328">
        <f>SUM(D89:D90)</f>
        <v>7358000</v>
      </c>
      <c r="E88" s="328">
        <f>SUM(E89:E90)</f>
        <v>7360000</v>
      </c>
      <c r="F88" s="328">
        <f>SUM(F89:F90)</f>
        <v>3100000</v>
      </c>
      <c r="G88" s="329">
        <f>SUM(G89:G90)</f>
        <v>7180000</v>
      </c>
      <c r="H88" s="293"/>
    </row>
    <row r="89" spans="1:9" ht="12.75">
      <c r="A89" s="322" t="s">
        <v>205</v>
      </c>
      <c r="B89" s="296"/>
      <c r="C89" s="296">
        <f aca="true" t="shared" si="24" ref="C89:G90">C59+C62+C65+C68+C71+C74+C77+C80+C83+C86</f>
        <v>1028000</v>
      </c>
      <c r="D89" s="296">
        <f t="shared" si="24"/>
        <v>1643000</v>
      </c>
      <c r="E89" s="296">
        <f t="shared" si="24"/>
        <v>1900000</v>
      </c>
      <c r="F89" s="296">
        <f t="shared" si="24"/>
        <v>0</v>
      </c>
      <c r="G89" s="299">
        <f t="shared" si="24"/>
        <v>300000</v>
      </c>
      <c r="H89" s="326">
        <f>SUM(C89:G89)</f>
        <v>4871000</v>
      </c>
      <c r="I89" s="326">
        <f>+H89+H90</f>
        <v>30591000</v>
      </c>
    </row>
    <row r="90" spans="1:8" ht="13.5" thickBot="1">
      <c r="A90" s="330" t="s">
        <v>308</v>
      </c>
      <c r="B90" s="331"/>
      <c r="C90" s="332">
        <f t="shared" si="24"/>
        <v>4565000</v>
      </c>
      <c r="D90" s="332">
        <f t="shared" si="24"/>
        <v>5715000</v>
      </c>
      <c r="E90" s="332">
        <f t="shared" si="24"/>
        <v>5460000</v>
      </c>
      <c r="F90" s="332">
        <f t="shared" si="24"/>
        <v>3100000</v>
      </c>
      <c r="G90" s="333">
        <f t="shared" si="24"/>
        <v>6880000</v>
      </c>
      <c r="H90" s="326">
        <f>SUM(C90:G90)</f>
        <v>25720000</v>
      </c>
    </row>
    <row r="91" spans="1:8" ht="19.5" customHeight="1">
      <c r="A91" s="334" t="s">
        <v>422</v>
      </c>
      <c r="C91" s="335">
        <f>C23+C88</f>
        <v>0</v>
      </c>
      <c r="D91" s="335">
        <f>D23+D88</f>
        <v>0</v>
      </c>
      <c r="E91" s="335">
        <f>E23+E88</f>
        <v>0</v>
      </c>
      <c r="F91" s="335">
        <f>F23+F88</f>
        <v>0</v>
      </c>
      <c r="G91" s="335">
        <f>G23+G88</f>
        <v>0</v>
      </c>
      <c r="H91" s="293" t="s">
        <v>301</v>
      </c>
    </row>
    <row r="93" spans="1:9" ht="12.75">
      <c r="A93" s="297" t="s">
        <v>423</v>
      </c>
      <c r="B93" s="300" t="s">
        <v>426</v>
      </c>
      <c r="C93" s="300"/>
      <c r="D93" s="300"/>
      <c r="E93" s="300"/>
      <c r="F93" s="300"/>
      <c r="H93" s="95"/>
      <c r="I93" s="95"/>
    </row>
    <row r="94" spans="1:7" s="448" customFormat="1" ht="13.5">
      <c r="A94" s="449" t="s">
        <v>489</v>
      </c>
      <c r="B94" s="450"/>
      <c r="C94" s="451">
        <f>SUM(C96:C97)</f>
        <v>0</v>
      </c>
      <c r="D94" s="451">
        <f>SUM(D96:D97)</f>
        <v>900000</v>
      </c>
      <c r="E94" s="451">
        <f>SUM(E96:E97)</f>
        <v>0</v>
      </c>
      <c r="F94" s="451">
        <f>SUM(F96:F97)</f>
        <v>0</v>
      </c>
      <c r="G94" s="451">
        <f>SUM(G96:G97)</f>
        <v>0</v>
      </c>
    </row>
    <row r="95" spans="1:7" s="445" customFormat="1" ht="13.5">
      <c r="A95" s="318" t="s">
        <v>490</v>
      </c>
      <c r="B95" s="361"/>
      <c r="C95" s="319">
        <f>+C96+C97</f>
        <v>0</v>
      </c>
      <c r="D95" s="319">
        <f>+D96+D97</f>
        <v>900000</v>
      </c>
      <c r="E95" s="319">
        <f>+E96+E97</f>
        <v>0</v>
      </c>
      <c r="F95" s="319">
        <f>+F96+F97</f>
        <v>0</v>
      </c>
      <c r="G95" s="319">
        <f>+G96+G97</f>
        <v>0</v>
      </c>
    </row>
    <row r="96" spans="1:7" ht="12.75">
      <c r="A96" s="446" t="s">
        <v>205</v>
      </c>
      <c r="B96" s="336"/>
      <c r="C96" s="294"/>
      <c r="D96" s="323">
        <v>400000</v>
      </c>
      <c r="E96" s="323"/>
      <c r="F96" s="323"/>
      <c r="G96" s="323"/>
    </row>
    <row r="97" spans="1:7" ht="12.75">
      <c r="A97" s="446" t="s">
        <v>308</v>
      </c>
      <c r="B97" s="336"/>
      <c r="C97" s="323"/>
      <c r="D97" s="323">
        <v>500000</v>
      </c>
      <c r="E97" s="323"/>
      <c r="F97" s="323"/>
      <c r="G97" s="323"/>
    </row>
    <row r="98" spans="1:8" s="448" customFormat="1" ht="13.5">
      <c r="A98" s="449" t="s">
        <v>476</v>
      </c>
      <c r="B98" s="450"/>
      <c r="C98" s="451">
        <f>SUM(C99:C100)</f>
        <v>1520000</v>
      </c>
      <c r="D98" s="451">
        <f>SUM(D99:D100)</f>
        <v>1505000</v>
      </c>
      <c r="E98" s="451">
        <f>SUM(E99:E100)</f>
        <v>1760000</v>
      </c>
      <c r="F98" s="451">
        <f>SUM(F99:F100)</f>
        <v>1010000</v>
      </c>
      <c r="G98" s="452">
        <f>SUM(G99:G100)</f>
        <v>1010000</v>
      </c>
      <c r="H98" s="464">
        <f>SUM(C98:G98)</f>
        <v>6805000</v>
      </c>
    </row>
    <row r="99" spans="1:7" ht="12.75">
      <c r="A99" s="446" t="s">
        <v>205</v>
      </c>
      <c r="B99" s="337"/>
      <c r="C99" s="338">
        <f>+C102+C105+C108+C111+C114+C117+C120+C123+C126+C129+C132+C135+C138+C141+C144+C147+C150</f>
        <v>200000</v>
      </c>
      <c r="D99" s="338">
        <f aca="true" t="shared" si="25" ref="D99:G100">+D102+D105+D108+D111+D114+D117+D120+D123+D126+D129+D132+D135+D141+D144+D147+D150</f>
        <v>100000</v>
      </c>
      <c r="E99" s="338">
        <f t="shared" si="25"/>
        <v>300000</v>
      </c>
      <c r="F99" s="338">
        <f t="shared" si="25"/>
        <v>0</v>
      </c>
      <c r="G99" s="338">
        <f t="shared" si="25"/>
        <v>0</v>
      </c>
    </row>
    <row r="100" spans="1:7" ht="12.75">
      <c r="A100" s="446" t="s">
        <v>308</v>
      </c>
      <c r="B100" s="337"/>
      <c r="C100" s="338">
        <f>+C103+C106+C109+C112+C115+C118+C121+C124+C127+C130+C133+C136+C139+C142+C145+C148+C151</f>
        <v>1320000</v>
      </c>
      <c r="D100" s="338">
        <f t="shared" si="25"/>
        <v>1405000</v>
      </c>
      <c r="E100" s="338">
        <f t="shared" si="25"/>
        <v>1460000</v>
      </c>
      <c r="F100" s="338">
        <f t="shared" si="25"/>
        <v>1010000</v>
      </c>
      <c r="G100" s="338">
        <f t="shared" si="25"/>
        <v>1010000</v>
      </c>
    </row>
    <row r="101" spans="1:7" s="445" customFormat="1" ht="13.5">
      <c r="A101" s="339" t="s">
        <v>526</v>
      </c>
      <c r="B101" s="361"/>
      <c r="C101" s="340">
        <f>+C102+C103</f>
        <v>250000</v>
      </c>
      <c r="D101" s="340">
        <f>+D102+D103</f>
        <v>250000</v>
      </c>
      <c r="E101" s="340">
        <f>+E102+E103</f>
        <v>450000</v>
      </c>
      <c r="F101" s="340">
        <f>+F102+F103</f>
        <v>250000</v>
      </c>
      <c r="G101" s="340">
        <f>+G102+G103</f>
        <v>250000</v>
      </c>
    </row>
    <row r="102" spans="1:7" ht="12.75">
      <c r="A102" s="447" t="s">
        <v>205</v>
      </c>
      <c r="B102" s="336"/>
      <c r="C102" s="342"/>
      <c r="D102" s="342"/>
      <c r="E102" s="342"/>
      <c r="F102" s="342"/>
      <c r="G102" s="323"/>
    </row>
    <row r="103" spans="1:7" ht="12.75">
      <c r="A103" s="447" t="s">
        <v>308</v>
      </c>
      <c r="B103" s="336"/>
      <c r="C103" s="342">
        <v>250000</v>
      </c>
      <c r="D103" s="342">
        <v>250000</v>
      </c>
      <c r="E103" s="342">
        <v>450000</v>
      </c>
      <c r="F103" s="342">
        <v>250000</v>
      </c>
      <c r="G103" s="323">
        <v>250000</v>
      </c>
    </row>
    <row r="104" spans="1:7" s="448" customFormat="1" ht="12.75">
      <c r="A104" s="339" t="s">
        <v>527</v>
      </c>
      <c r="B104" s="336"/>
      <c r="C104" s="340">
        <f>+C105+C106</f>
        <v>30000</v>
      </c>
      <c r="D104" s="340">
        <f>+D105+D106</f>
        <v>30000</v>
      </c>
      <c r="E104" s="340">
        <f>+E105+E106</f>
        <v>30000</v>
      </c>
      <c r="F104" s="340">
        <f>+F105+F106</f>
        <v>30000</v>
      </c>
      <c r="G104" s="340">
        <f>+G105+G106</f>
        <v>30000</v>
      </c>
    </row>
    <row r="105" spans="1:7" ht="12.75">
      <c r="A105" s="447" t="s">
        <v>205</v>
      </c>
      <c r="B105" s="336"/>
      <c r="C105" s="342"/>
      <c r="D105" s="342"/>
      <c r="E105" s="342"/>
      <c r="F105" s="342"/>
      <c r="G105" s="323"/>
    </row>
    <row r="106" spans="1:7" ht="12.75">
      <c r="A106" s="447" t="s">
        <v>308</v>
      </c>
      <c r="B106" s="336"/>
      <c r="C106" s="342">
        <v>30000</v>
      </c>
      <c r="D106" s="342">
        <v>30000</v>
      </c>
      <c r="E106" s="342">
        <v>30000</v>
      </c>
      <c r="F106" s="342">
        <v>30000</v>
      </c>
      <c r="G106" s="323">
        <v>30000</v>
      </c>
    </row>
    <row r="107" spans="1:7" ht="12.75">
      <c r="A107" s="339" t="s">
        <v>466</v>
      </c>
      <c r="B107" s="336"/>
      <c r="C107" s="340">
        <f>+C108+C109</f>
        <v>0</v>
      </c>
      <c r="D107" s="340">
        <f>+D108+D109</f>
        <v>0</v>
      </c>
      <c r="E107" s="340">
        <f>+E108+E109</f>
        <v>300000</v>
      </c>
      <c r="F107" s="340">
        <f>+F108+F109</f>
        <v>0</v>
      </c>
      <c r="G107" s="340">
        <f>+G108+G109</f>
        <v>0</v>
      </c>
    </row>
    <row r="108" spans="1:7" ht="12.75">
      <c r="A108" s="447" t="s">
        <v>205</v>
      </c>
      <c r="B108" s="336"/>
      <c r="C108" s="342"/>
      <c r="D108" s="342"/>
      <c r="E108" s="342"/>
      <c r="F108" s="342"/>
      <c r="G108" s="323"/>
    </row>
    <row r="109" spans="1:8" ht="12.75">
      <c r="A109" s="447" t="s">
        <v>308</v>
      </c>
      <c r="B109" s="336"/>
      <c r="C109" s="342"/>
      <c r="D109" s="342"/>
      <c r="E109" s="342">
        <v>300000</v>
      </c>
      <c r="F109" s="342"/>
      <c r="G109" s="323"/>
      <c r="H109" s="292" t="s">
        <v>497</v>
      </c>
    </row>
    <row r="110" spans="1:7" ht="12.75">
      <c r="A110" s="343" t="s">
        <v>467</v>
      </c>
      <c r="B110" s="336"/>
      <c r="C110" s="344">
        <f>+C111+C112</f>
        <v>20000</v>
      </c>
      <c r="D110" s="344">
        <f>+D111+D112</f>
        <v>50000</v>
      </c>
      <c r="E110" s="344">
        <f>+E111+E112</f>
        <v>0</v>
      </c>
      <c r="F110" s="344">
        <f>+F111+F112</f>
        <v>0</v>
      </c>
      <c r="G110" s="344">
        <f>+G111+G112</f>
        <v>0</v>
      </c>
    </row>
    <row r="111" spans="1:7" ht="12.75">
      <c r="A111" s="446" t="s">
        <v>205</v>
      </c>
      <c r="B111" s="337"/>
      <c r="C111" s="345">
        <v>0</v>
      </c>
      <c r="D111" s="342"/>
      <c r="E111" s="342"/>
      <c r="F111" s="342"/>
      <c r="G111" s="323"/>
    </row>
    <row r="112" spans="1:8" ht="12.75">
      <c r="A112" s="446" t="s">
        <v>308</v>
      </c>
      <c r="B112" s="337"/>
      <c r="C112" s="345">
        <v>20000</v>
      </c>
      <c r="D112" s="345">
        <v>50000</v>
      </c>
      <c r="E112" s="342"/>
      <c r="F112" s="342"/>
      <c r="G112" s="323"/>
      <c r="H112" s="292" t="s">
        <v>498</v>
      </c>
    </row>
    <row r="113" spans="1:7" ht="12.75">
      <c r="A113" s="343" t="s">
        <v>468</v>
      </c>
      <c r="B113" s="337"/>
      <c r="C113" s="346">
        <f>+C114+C115</f>
        <v>150000</v>
      </c>
      <c r="D113" s="346">
        <f>+D114+D115</f>
        <v>0</v>
      </c>
      <c r="E113" s="346">
        <f>+E114+E115</f>
        <v>0</v>
      </c>
      <c r="F113" s="346">
        <f>+F114+F115</f>
        <v>0</v>
      </c>
      <c r="G113" s="346">
        <f>+G114+G115</f>
        <v>0</v>
      </c>
    </row>
    <row r="114" spans="1:7" ht="12.75">
      <c r="A114" s="446" t="s">
        <v>205</v>
      </c>
      <c r="B114" s="336"/>
      <c r="C114" s="342"/>
      <c r="D114" s="342"/>
      <c r="E114" s="342"/>
      <c r="F114" s="342"/>
      <c r="G114" s="323"/>
    </row>
    <row r="115" spans="1:7" ht="12.75">
      <c r="A115" s="446" t="s">
        <v>308</v>
      </c>
      <c r="B115" s="336"/>
      <c r="C115" s="342">
        <v>150000</v>
      </c>
      <c r="D115" s="342">
        <v>0</v>
      </c>
      <c r="E115" s="342"/>
      <c r="F115" s="342"/>
      <c r="G115" s="323"/>
    </row>
    <row r="116" spans="1:7" ht="12.75">
      <c r="A116" s="343" t="s">
        <v>469</v>
      </c>
      <c r="B116" s="336"/>
      <c r="C116" s="340">
        <f>+C117+C118</f>
        <v>100000</v>
      </c>
      <c r="D116" s="340">
        <f>+D117+D118</f>
        <v>300000</v>
      </c>
      <c r="E116" s="340">
        <f>+E117+E118</f>
        <v>300000</v>
      </c>
      <c r="F116" s="340">
        <f>+F117+F118</f>
        <v>0</v>
      </c>
      <c r="G116" s="340">
        <f>+G117+G118</f>
        <v>0</v>
      </c>
    </row>
    <row r="117" spans="1:7" ht="12.75">
      <c r="A117" s="446" t="s">
        <v>205</v>
      </c>
      <c r="B117" s="336"/>
      <c r="C117" s="342"/>
      <c r="D117" s="342"/>
      <c r="E117" s="342"/>
      <c r="F117" s="342"/>
      <c r="G117" s="323"/>
    </row>
    <row r="118" spans="1:7" ht="12.75">
      <c r="A118" s="446" t="s">
        <v>308</v>
      </c>
      <c r="B118" s="336"/>
      <c r="C118" s="342">
        <v>100000</v>
      </c>
      <c r="D118" s="342">
        <v>300000</v>
      </c>
      <c r="E118" s="345">
        <v>300000</v>
      </c>
      <c r="F118" s="345">
        <v>0</v>
      </c>
      <c r="G118" s="323"/>
    </row>
    <row r="119" spans="1:7" ht="12.75">
      <c r="A119" s="343" t="s">
        <v>528</v>
      </c>
      <c r="B119" s="336"/>
      <c r="C119" s="340">
        <f>+C120+C121</f>
        <v>100000</v>
      </c>
      <c r="D119" s="340">
        <f>+D120+D121</f>
        <v>200000</v>
      </c>
      <c r="E119" s="340">
        <f>+E120+E121</f>
        <v>400000</v>
      </c>
      <c r="F119" s="340">
        <f>+F120+F121</f>
        <v>100000</v>
      </c>
      <c r="G119" s="340">
        <f>+G120+G121</f>
        <v>100000</v>
      </c>
    </row>
    <row r="120" spans="1:7" ht="12.75">
      <c r="A120" s="446" t="s">
        <v>205</v>
      </c>
      <c r="B120" s="336"/>
      <c r="C120" s="342"/>
      <c r="D120" s="342"/>
      <c r="E120" s="342">
        <v>200000</v>
      </c>
      <c r="F120" s="342">
        <v>0</v>
      </c>
      <c r="G120" s="323"/>
    </row>
    <row r="121" spans="1:7" ht="12.75">
      <c r="A121" s="446" t="s">
        <v>308</v>
      </c>
      <c r="B121" s="336"/>
      <c r="C121" s="342">
        <v>100000</v>
      </c>
      <c r="D121" s="342">
        <v>200000</v>
      </c>
      <c r="E121" s="342">
        <v>200000</v>
      </c>
      <c r="F121" s="342">
        <v>100000</v>
      </c>
      <c r="G121" s="323">
        <v>100000</v>
      </c>
    </row>
    <row r="122" spans="1:7" ht="12.75">
      <c r="A122" s="343" t="s">
        <v>529</v>
      </c>
      <c r="B122" s="336"/>
      <c r="C122" s="340">
        <f>+C123+C124</f>
        <v>30000</v>
      </c>
      <c r="D122" s="340">
        <f>+D123+D124</f>
        <v>30000</v>
      </c>
      <c r="E122" s="340">
        <f>+E123+E124</f>
        <v>30000</v>
      </c>
      <c r="F122" s="340">
        <f>+F123+F124</f>
        <v>30000</v>
      </c>
      <c r="G122" s="340">
        <f>+G123+G124</f>
        <v>30000</v>
      </c>
    </row>
    <row r="123" spans="1:7" ht="12.75">
      <c r="A123" s="446" t="s">
        <v>205</v>
      </c>
      <c r="B123" s="336"/>
      <c r="C123" s="342"/>
      <c r="D123" s="342"/>
      <c r="E123" s="342"/>
      <c r="F123" s="342"/>
      <c r="G123" s="323"/>
    </row>
    <row r="124" spans="1:7" ht="12.75">
      <c r="A124" s="446" t="s">
        <v>308</v>
      </c>
      <c r="B124" s="336"/>
      <c r="C124" s="342">
        <v>30000</v>
      </c>
      <c r="D124" s="342">
        <v>30000</v>
      </c>
      <c r="E124" s="342">
        <v>30000</v>
      </c>
      <c r="F124" s="342">
        <v>30000</v>
      </c>
      <c r="G124" s="323">
        <v>30000</v>
      </c>
    </row>
    <row r="125" spans="1:7" ht="12.75">
      <c r="A125" s="343" t="s">
        <v>470</v>
      </c>
      <c r="B125" s="336"/>
      <c r="C125" s="340">
        <f>+C126+C127</f>
        <v>50000</v>
      </c>
      <c r="D125" s="340">
        <f>+D126+D127</f>
        <v>0</v>
      </c>
      <c r="E125" s="340">
        <f>+E126+E127</f>
        <v>0</v>
      </c>
      <c r="F125" s="340">
        <f>+F126+F127</f>
        <v>0</v>
      </c>
      <c r="G125" s="340">
        <f>+G126+G127</f>
        <v>0</v>
      </c>
    </row>
    <row r="126" spans="1:7" ht="12.75">
      <c r="A126" s="446" t="s">
        <v>205</v>
      </c>
      <c r="B126" s="336"/>
      <c r="C126" s="342"/>
      <c r="D126" s="342"/>
      <c r="E126" s="342"/>
      <c r="F126" s="342"/>
      <c r="G126" s="323"/>
    </row>
    <row r="127" spans="1:7" ht="12.75">
      <c r="A127" s="446" t="s">
        <v>308</v>
      </c>
      <c r="B127" s="336"/>
      <c r="C127" s="342">
        <v>50000</v>
      </c>
      <c r="D127" s="345">
        <v>0</v>
      </c>
      <c r="E127" s="342"/>
      <c r="F127" s="342"/>
      <c r="G127" s="323"/>
    </row>
    <row r="128" spans="1:7" ht="12.75">
      <c r="A128" s="343" t="s">
        <v>471</v>
      </c>
      <c r="B128" s="336"/>
      <c r="C128" s="340">
        <f>+C129+C130</f>
        <v>150000</v>
      </c>
      <c r="D128" s="340">
        <f>+D129+D130</f>
        <v>0</v>
      </c>
      <c r="E128" s="340">
        <f>+E129+E130</f>
        <v>0</v>
      </c>
      <c r="F128" s="340">
        <f>+F129+F130</f>
        <v>0</v>
      </c>
      <c r="G128" s="340">
        <f>+G129+G130</f>
        <v>0</v>
      </c>
    </row>
    <row r="129" spans="1:7" ht="12.75">
      <c r="A129" s="446" t="s">
        <v>205</v>
      </c>
      <c r="B129" s="336"/>
      <c r="C129" s="342">
        <v>100000</v>
      </c>
      <c r="D129" s="342"/>
      <c r="E129" s="342"/>
      <c r="F129" s="342"/>
      <c r="G129" s="323"/>
    </row>
    <row r="130" spans="1:7" ht="12.75">
      <c r="A130" s="446" t="s">
        <v>308</v>
      </c>
      <c r="B130" s="336"/>
      <c r="C130" s="342">
        <v>50000</v>
      </c>
      <c r="D130" s="342"/>
      <c r="E130" s="342"/>
      <c r="F130" s="342"/>
      <c r="G130" s="323"/>
    </row>
    <row r="131" spans="1:7" ht="12.75">
      <c r="A131" s="343" t="s">
        <v>472</v>
      </c>
      <c r="B131" s="336"/>
      <c r="C131" s="340">
        <f>+C132+C133</f>
        <v>150000</v>
      </c>
      <c r="D131" s="340">
        <f>+D132+D133</f>
        <v>0</v>
      </c>
      <c r="E131" s="340">
        <f>+E132+E133</f>
        <v>150000</v>
      </c>
      <c r="F131" s="340">
        <f>+F132+F133</f>
        <v>0</v>
      </c>
      <c r="G131" s="340">
        <f>+G132+G133</f>
        <v>0</v>
      </c>
    </row>
    <row r="132" spans="1:7" ht="12.75">
      <c r="A132" s="446" t="s">
        <v>205</v>
      </c>
      <c r="B132" s="336"/>
      <c r="C132" s="342">
        <v>100000</v>
      </c>
      <c r="D132" s="342"/>
      <c r="E132" s="342">
        <v>100000</v>
      </c>
      <c r="F132" s="342"/>
      <c r="G132" s="323"/>
    </row>
    <row r="133" spans="1:7" ht="12.75">
      <c r="A133" s="446" t="s">
        <v>308</v>
      </c>
      <c r="B133" s="336"/>
      <c r="C133" s="342">
        <v>50000</v>
      </c>
      <c r="D133" s="342"/>
      <c r="E133" s="342">
        <v>50000</v>
      </c>
      <c r="F133" s="342"/>
      <c r="G133" s="323"/>
    </row>
    <row r="134" spans="1:7" ht="12.75">
      <c r="A134" s="343" t="s">
        <v>473</v>
      </c>
      <c r="B134" s="336"/>
      <c r="C134" s="340">
        <f>+C135+C136</f>
        <v>100000</v>
      </c>
      <c r="D134" s="340">
        <f>+D135+D136</f>
        <v>220000</v>
      </c>
      <c r="E134" s="340">
        <f>+E135+E136</f>
        <v>0</v>
      </c>
      <c r="F134" s="340">
        <f>+F135+F136</f>
        <v>200000</v>
      </c>
      <c r="G134" s="340">
        <f>+G135+G136</f>
        <v>200000</v>
      </c>
    </row>
    <row r="135" spans="1:7" ht="12.75">
      <c r="A135" s="447" t="s">
        <v>205</v>
      </c>
      <c r="B135" s="336"/>
      <c r="C135" s="342"/>
      <c r="D135" s="342"/>
      <c r="E135" s="342"/>
      <c r="F135" s="342"/>
      <c r="G135" s="323"/>
    </row>
    <row r="136" spans="1:7" ht="12.75">
      <c r="A136" s="447" t="s">
        <v>308</v>
      </c>
      <c r="B136" s="336"/>
      <c r="C136" s="342">
        <v>100000</v>
      </c>
      <c r="D136" s="342">
        <v>220000</v>
      </c>
      <c r="E136" s="342"/>
      <c r="F136" s="342">
        <v>200000</v>
      </c>
      <c r="G136" s="323">
        <v>200000</v>
      </c>
    </row>
    <row r="137" spans="1:7" ht="12.75">
      <c r="A137" s="549" t="s">
        <v>537</v>
      </c>
      <c r="B137" s="336"/>
      <c r="C137" s="346">
        <f>+C138+C139</f>
        <v>65000</v>
      </c>
      <c r="D137" s="550">
        <f>+D138+D139</f>
        <v>0</v>
      </c>
      <c r="E137" s="550">
        <f>+E138+E139</f>
        <v>0</v>
      </c>
      <c r="F137" s="550">
        <f>+F138+F139</f>
        <v>0</v>
      </c>
      <c r="G137" s="550">
        <f>+G138+G139</f>
        <v>0</v>
      </c>
    </row>
    <row r="138" spans="1:7" ht="12.75">
      <c r="A138" s="447" t="s">
        <v>205</v>
      </c>
      <c r="B138" s="336"/>
      <c r="C138" s="342"/>
      <c r="D138" s="342"/>
      <c r="E138" s="342"/>
      <c r="F138" s="342"/>
      <c r="G138" s="323"/>
    </row>
    <row r="139" spans="1:7" ht="12.75">
      <c r="A139" s="447" t="s">
        <v>308</v>
      </c>
      <c r="B139" s="336"/>
      <c r="C139" s="342">
        <v>65000</v>
      </c>
      <c r="D139" s="342"/>
      <c r="E139" s="342"/>
      <c r="F139" s="342"/>
      <c r="G139" s="323"/>
    </row>
    <row r="140" spans="1:8" ht="12.75">
      <c r="A140" s="339" t="s">
        <v>474</v>
      </c>
      <c r="B140" s="336"/>
      <c r="C140" s="340">
        <f>+C141+C142</f>
        <v>0</v>
      </c>
      <c r="D140" s="340">
        <f>+D141+D142</f>
        <v>75000</v>
      </c>
      <c r="E140" s="340">
        <f>+E141+E142</f>
        <v>100000</v>
      </c>
      <c r="F140" s="340">
        <f>+F141+F142</f>
        <v>400000</v>
      </c>
      <c r="G140" s="340">
        <f>+G141+G142</f>
        <v>400000</v>
      </c>
      <c r="H140" s="292" t="s">
        <v>499</v>
      </c>
    </row>
    <row r="141" spans="1:7" ht="12.75">
      <c r="A141" s="447" t="s">
        <v>205</v>
      </c>
      <c r="B141" s="336"/>
      <c r="C141" s="342"/>
      <c r="D141" s="342"/>
      <c r="E141" s="342"/>
      <c r="F141" s="342"/>
      <c r="G141" s="323"/>
    </row>
    <row r="142" spans="1:7" ht="12.75">
      <c r="A142" s="447" t="s">
        <v>308</v>
      </c>
      <c r="B142" s="336"/>
      <c r="C142" s="342"/>
      <c r="D142" s="342">
        <v>75000</v>
      </c>
      <c r="E142" s="342">
        <v>100000</v>
      </c>
      <c r="F142" s="342">
        <v>400000</v>
      </c>
      <c r="G142" s="323">
        <v>400000</v>
      </c>
    </row>
    <row r="143" spans="1:7" ht="12.75">
      <c r="A143" s="343" t="s">
        <v>475</v>
      </c>
      <c r="B143" s="336"/>
      <c r="C143" s="340">
        <f>+C144+C145</f>
        <v>25000</v>
      </c>
      <c r="D143" s="340">
        <f>+D144+D145</f>
        <v>150000</v>
      </c>
      <c r="E143" s="340">
        <f>+E144+E145</f>
        <v>0</v>
      </c>
      <c r="F143" s="340">
        <f>+F144+F145</f>
        <v>0</v>
      </c>
      <c r="G143" s="340">
        <f>+G144+G145</f>
        <v>0</v>
      </c>
    </row>
    <row r="144" spans="1:7" ht="12.75">
      <c r="A144" s="447" t="s">
        <v>205</v>
      </c>
      <c r="B144" s="336"/>
      <c r="C144" s="342"/>
      <c r="D144" s="342">
        <v>100000</v>
      </c>
      <c r="E144" s="342"/>
      <c r="F144" s="342"/>
      <c r="G144" s="323"/>
    </row>
    <row r="145" spans="1:7" ht="12.75">
      <c r="A145" s="447" t="s">
        <v>308</v>
      </c>
      <c r="B145" s="336"/>
      <c r="C145" s="342">
        <v>25000</v>
      </c>
      <c r="D145" s="342">
        <v>50000</v>
      </c>
      <c r="E145" s="342"/>
      <c r="F145" s="342"/>
      <c r="G145" s="323"/>
    </row>
    <row r="146" spans="1:8" ht="12.75">
      <c r="A146" s="343" t="s">
        <v>501</v>
      </c>
      <c r="B146" s="336"/>
      <c r="C146" s="347">
        <f>+C147+C148</f>
        <v>0</v>
      </c>
      <c r="D146" s="347">
        <f>+D147+D148</f>
        <v>200000</v>
      </c>
      <c r="E146" s="347">
        <f>+E147+E148</f>
        <v>0</v>
      </c>
      <c r="F146" s="347">
        <f>+F147+F148</f>
        <v>0</v>
      </c>
      <c r="G146" s="347">
        <f>+G147+G148</f>
        <v>0</v>
      </c>
      <c r="H146" s="95" t="s">
        <v>502</v>
      </c>
    </row>
    <row r="147" spans="1:7" ht="12.75">
      <c r="A147" s="447" t="s">
        <v>205</v>
      </c>
      <c r="B147" s="336"/>
      <c r="C147" s="342"/>
      <c r="D147" s="342"/>
      <c r="E147" s="342"/>
      <c r="F147" s="342"/>
      <c r="G147" s="323"/>
    </row>
    <row r="148" spans="1:7" ht="12.75">
      <c r="A148" s="447" t="s">
        <v>308</v>
      </c>
      <c r="B148" s="336"/>
      <c r="C148" s="342"/>
      <c r="D148" s="342">
        <v>200000</v>
      </c>
      <c r="E148" s="342"/>
      <c r="F148" s="342"/>
      <c r="G148" s="323"/>
    </row>
    <row r="149" spans="1:7" ht="12.75">
      <c r="A149" s="343" t="s">
        <v>500</v>
      </c>
      <c r="B149" s="336"/>
      <c r="C149" s="347">
        <f>+C150+C151</f>
        <v>300000</v>
      </c>
      <c r="D149" s="347">
        <f>+D150+D151</f>
        <v>0</v>
      </c>
      <c r="E149" s="347">
        <f>+E150+E151</f>
        <v>0</v>
      </c>
      <c r="F149" s="347">
        <f>+F150+F151</f>
        <v>0</v>
      </c>
      <c r="G149" s="347">
        <f>+G150+G151</f>
        <v>0</v>
      </c>
    </row>
    <row r="150" spans="1:7" ht="12.75">
      <c r="A150" s="447" t="s">
        <v>205</v>
      </c>
      <c r="B150" s="336"/>
      <c r="C150" s="342"/>
      <c r="D150" s="342"/>
      <c r="E150" s="342"/>
      <c r="F150" s="342"/>
      <c r="G150" s="323"/>
    </row>
    <row r="151" spans="1:7" ht="12.75">
      <c r="A151" s="447" t="s">
        <v>308</v>
      </c>
      <c r="B151" s="336"/>
      <c r="C151" s="342">
        <v>300000</v>
      </c>
      <c r="D151" s="342"/>
      <c r="E151" s="342"/>
      <c r="F151" s="342"/>
      <c r="G151" s="323"/>
    </row>
    <row r="152" spans="1:8" ht="13.5">
      <c r="A152" s="449" t="s">
        <v>477</v>
      </c>
      <c r="B152" s="450"/>
      <c r="C152" s="451">
        <f>+C153+C154</f>
        <v>0</v>
      </c>
      <c r="D152" s="451">
        <f>+D153+D154</f>
        <v>110000</v>
      </c>
      <c r="E152" s="451">
        <f>+E153+E154</f>
        <v>110000</v>
      </c>
      <c r="F152" s="451">
        <f>+F153+F154</f>
        <v>0</v>
      </c>
      <c r="G152" s="451">
        <f>+G153+G154</f>
        <v>0</v>
      </c>
      <c r="H152" s="326">
        <f>SUM(C152:G152)</f>
        <v>220000</v>
      </c>
    </row>
    <row r="153" spans="1:7" ht="12.75">
      <c r="A153" s="446" t="s">
        <v>205</v>
      </c>
      <c r="B153" s="336"/>
      <c r="C153" s="348">
        <f aca="true" t="shared" si="26" ref="C153:G154">+C156</f>
        <v>0</v>
      </c>
      <c r="D153" s="348">
        <f t="shared" si="26"/>
        <v>100000</v>
      </c>
      <c r="E153" s="348">
        <f t="shared" si="26"/>
        <v>100000</v>
      </c>
      <c r="F153" s="348">
        <f t="shared" si="26"/>
        <v>0</v>
      </c>
      <c r="G153" s="348">
        <f t="shared" si="26"/>
        <v>0</v>
      </c>
    </row>
    <row r="154" spans="1:7" ht="12.75">
      <c r="A154" s="446" t="s">
        <v>308</v>
      </c>
      <c r="B154" s="336"/>
      <c r="C154" s="348">
        <f t="shared" si="26"/>
        <v>0</v>
      </c>
      <c r="D154" s="348">
        <f t="shared" si="26"/>
        <v>10000</v>
      </c>
      <c r="E154" s="348">
        <f t="shared" si="26"/>
        <v>10000</v>
      </c>
      <c r="F154" s="348">
        <f t="shared" si="26"/>
        <v>0</v>
      </c>
      <c r="G154" s="348">
        <f t="shared" si="26"/>
        <v>0</v>
      </c>
    </row>
    <row r="155" spans="1:7" ht="12.75">
      <c r="A155" s="318" t="s">
        <v>478</v>
      </c>
      <c r="B155" s="336"/>
      <c r="C155" s="319">
        <f>+C156+C157</f>
        <v>0</v>
      </c>
      <c r="D155" s="319">
        <f>+D156+D157</f>
        <v>110000</v>
      </c>
      <c r="E155" s="319">
        <f>+E156+E157</f>
        <v>110000</v>
      </c>
      <c r="F155" s="319">
        <f>+F156+F157</f>
        <v>0</v>
      </c>
      <c r="G155" s="319">
        <f>+G156+G157</f>
        <v>0</v>
      </c>
    </row>
    <row r="156" spans="1:7" ht="12.75">
      <c r="A156" s="446" t="s">
        <v>205</v>
      </c>
      <c r="B156" s="336"/>
      <c r="C156" s="323">
        <v>0</v>
      </c>
      <c r="D156" s="323">
        <v>100000</v>
      </c>
      <c r="E156" s="323">
        <v>100000</v>
      </c>
      <c r="F156" s="323"/>
      <c r="G156" s="323"/>
    </row>
    <row r="157" spans="1:7" ht="12.75">
      <c r="A157" s="446" t="s">
        <v>308</v>
      </c>
      <c r="B157" s="336"/>
      <c r="C157" s="323">
        <v>0</v>
      </c>
      <c r="D157" s="323">
        <v>10000</v>
      </c>
      <c r="E157" s="323">
        <v>10000</v>
      </c>
      <c r="F157" s="323"/>
      <c r="G157" s="323"/>
    </row>
    <row r="158" spans="1:8" ht="13.5">
      <c r="A158" s="449" t="s">
        <v>479</v>
      </c>
      <c r="B158" s="450"/>
      <c r="C158" s="451">
        <f>SUM(C159:C160)</f>
        <v>520000</v>
      </c>
      <c r="D158" s="451">
        <f>SUM(D159:D160)</f>
        <v>695000</v>
      </c>
      <c r="E158" s="451">
        <f>SUM(E159:E160)</f>
        <v>390000</v>
      </c>
      <c r="F158" s="451">
        <f>SUM(F159:F160)</f>
        <v>360000</v>
      </c>
      <c r="G158" s="452">
        <f>SUM(G159:G160)</f>
        <v>720000</v>
      </c>
      <c r="H158" s="326">
        <f>SUM(C158:G158)</f>
        <v>2685000</v>
      </c>
    </row>
    <row r="159" spans="1:7" ht="12.75">
      <c r="A159" s="446" t="s">
        <v>205</v>
      </c>
      <c r="B159" s="336"/>
      <c r="C159" s="294">
        <f aca="true" t="shared" si="27" ref="C159:G160">+C162+C165+C168+C171</f>
        <v>0</v>
      </c>
      <c r="D159" s="294">
        <f t="shared" si="27"/>
        <v>95000</v>
      </c>
      <c r="E159" s="294">
        <f t="shared" si="27"/>
        <v>0</v>
      </c>
      <c r="F159" s="294">
        <f t="shared" si="27"/>
        <v>0</v>
      </c>
      <c r="G159" s="294">
        <f t="shared" si="27"/>
        <v>300000</v>
      </c>
    </row>
    <row r="160" spans="1:7" ht="12.75">
      <c r="A160" s="446" t="s">
        <v>308</v>
      </c>
      <c r="B160" s="336"/>
      <c r="C160" s="323">
        <f t="shared" si="27"/>
        <v>520000</v>
      </c>
      <c r="D160" s="323">
        <f t="shared" si="27"/>
        <v>600000</v>
      </c>
      <c r="E160" s="323">
        <f t="shared" si="27"/>
        <v>390000</v>
      </c>
      <c r="F160" s="323">
        <f t="shared" si="27"/>
        <v>360000</v>
      </c>
      <c r="G160" s="323">
        <f t="shared" si="27"/>
        <v>420000</v>
      </c>
    </row>
    <row r="161" spans="1:7" ht="12.75">
      <c r="A161" s="318" t="s">
        <v>100</v>
      </c>
      <c r="B161" s="336"/>
      <c r="C161" s="319">
        <f>+C162+C163</f>
        <v>400000</v>
      </c>
      <c r="D161" s="319">
        <f>+D162+D163</f>
        <v>475000</v>
      </c>
      <c r="E161" s="319">
        <f>+E162+E163</f>
        <v>270000</v>
      </c>
      <c r="F161" s="319">
        <f>+F162+F163</f>
        <v>200000</v>
      </c>
      <c r="G161" s="319">
        <f>+G162+G163</f>
        <v>600000</v>
      </c>
    </row>
    <row r="162" spans="1:7" ht="12.75">
      <c r="A162" s="446" t="s">
        <v>205</v>
      </c>
      <c r="B162" s="336"/>
      <c r="C162" s="323">
        <v>0</v>
      </c>
      <c r="D162" s="323">
        <v>95000</v>
      </c>
      <c r="E162" s="323"/>
      <c r="F162" s="323"/>
      <c r="G162" s="323">
        <v>300000</v>
      </c>
    </row>
    <row r="163" spans="1:7" ht="12.75">
      <c r="A163" s="446" t="s">
        <v>308</v>
      </c>
      <c r="B163" s="336"/>
      <c r="C163" s="323">
        <v>400000</v>
      </c>
      <c r="D163" s="323">
        <v>380000</v>
      </c>
      <c r="E163" s="323">
        <v>270000</v>
      </c>
      <c r="F163" s="323">
        <v>200000</v>
      </c>
      <c r="G163" s="323">
        <v>300000</v>
      </c>
    </row>
    <row r="164" spans="1:7" ht="12.75">
      <c r="A164" s="318" t="s">
        <v>480</v>
      </c>
      <c r="B164" s="336"/>
      <c r="C164" s="319">
        <f>+C165+C166</f>
        <v>20000</v>
      </c>
      <c r="D164" s="319">
        <f>+D165+D166</f>
        <v>20000</v>
      </c>
      <c r="E164" s="319">
        <f>+E165+E166</f>
        <v>20000</v>
      </c>
      <c r="F164" s="319">
        <f>+F165+F166</f>
        <v>60000</v>
      </c>
      <c r="G164" s="319">
        <f>+G165+G166</f>
        <v>20000</v>
      </c>
    </row>
    <row r="165" spans="1:7" ht="12.75">
      <c r="A165" s="446" t="s">
        <v>205</v>
      </c>
      <c r="B165" s="336"/>
      <c r="C165" s="323"/>
      <c r="D165" s="323"/>
      <c r="E165" s="323"/>
      <c r="F165" s="323"/>
      <c r="G165" s="323"/>
    </row>
    <row r="166" spans="1:7" ht="12.75">
      <c r="A166" s="446" t="s">
        <v>308</v>
      </c>
      <c r="B166" s="336"/>
      <c r="C166" s="323">
        <v>20000</v>
      </c>
      <c r="D166" s="323">
        <v>20000</v>
      </c>
      <c r="E166" s="323">
        <v>20000</v>
      </c>
      <c r="F166" s="323">
        <v>60000</v>
      </c>
      <c r="G166" s="323">
        <v>20000</v>
      </c>
    </row>
    <row r="167" spans="1:7" ht="12.75">
      <c r="A167" s="318" t="s">
        <v>99</v>
      </c>
      <c r="B167" s="336"/>
      <c r="C167" s="319">
        <f>+C168+C169</f>
        <v>100000</v>
      </c>
      <c r="D167" s="319">
        <f>+D168+D169</f>
        <v>100000</v>
      </c>
      <c r="E167" s="319">
        <f>+E168+E169</f>
        <v>100000</v>
      </c>
      <c r="F167" s="319">
        <f>+F168+F169</f>
        <v>100000</v>
      </c>
      <c r="G167" s="319">
        <f>+G168+G169</f>
        <v>100000</v>
      </c>
    </row>
    <row r="168" spans="1:7" ht="12.75">
      <c r="A168" s="446" t="s">
        <v>205</v>
      </c>
      <c r="B168" s="336"/>
      <c r="C168" s="294"/>
      <c r="D168" s="323"/>
      <c r="E168" s="323"/>
      <c r="F168" s="323"/>
      <c r="G168" s="323"/>
    </row>
    <row r="169" spans="1:7" ht="12.75">
      <c r="A169" s="446" t="s">
        <v>308</v>
      </c>
      <c r="B169" s="336"/>
      <c r="C169" s="323">
        <v>100000</v>
      </c>
      <c r="D169" s="323">
        <v>100000</v>
      </c>
      <c r="E169" s="323">
        <v>100000</v>
      </c>
      <c r="F169" s="323">
        <v>100000</v>
      </c>
      <c r="G169" s="323">
        <v>100000</v>
      </c>
    </row>
    <row r="170" spans="1:7" ht="12.75">
      <c r="A170" s="298" t="s">
        <v>534</v>
      </c>
      <c r="B170" s="336"/>
      <c r="C170" s="359">
        <f>+C171+C172</f>
        <v>0</v>
      </c>
      <c r="D170" s="359">
        <f>+D171+D172</f>
        <v>100000</v>
      </c>
      <c r="E170" s="359">
        <f>+E171+E172</f>
        <v>0</v>
      </c>
      <c r="F170" s="359">
        <f>+F171+F172</f>
        <v>0</v>
      </c>
      <c r="G170" s="359">
        <f>+G171+G172</f>
        <v>0</v>
      </c>
    </row>
    <row r="171" spans="1:7" ht="12.75">
      <c r="A171" s="446" t="s">
        <v>205</v>
      </c>
      <c r="B171" s="336"/>
      <c r="C171" s="323"/>
      <c r="D171" s="323"/>
      <c r="E171" s="323"/>
      <c r="F171" s="323"/>
      <c r="G171" s="323"/>
    </row>
    <row r="172" spans="1:7" ht="12.75">
      <c r="A172" s="446" t="s">
        <v>308</v>
      </c>
      <c r="B172" s="336"/>
      <c r="C172" s="323"/>
      <c r="D172" s="323">
        <v>100000</v>
      </c>
      <c r="E172" s="323"/>
      <c r="F172" s="323"/>
      <c r="G172" s="323"/>
    </row>
    <row r="173" spans="1:8" ht="13.5">
      <c r="A173" s="453" t="s">
        <v>531</v>
      </c>
      <c r="B173" s="450"/>
      <c r="C173" s="454">
        <f>+C174+C175</f>
        <v>2090000</v>
      </c>
      <c r="D173" s="454">
        <f>+D174+D175</f>
        <v>2040000</v>
      </c>
      <c r="E173" s="454">
        <f>+E174+E175</f>
        <v>600000</v>
      </c>
      <c r="F173" s="454">
        <f>+F174+F175</f>
        <v>850000</v>
      </c>
      <c r="G173" s="454">
        <f>+G174+G175</f>
        <v>450000</v>
      </c>
      <c r="H173" s="326">
        <f>SUM(C173:G173)</f>
        <v>6030000</v>
      </c>
    </row>
    <row r="174" spans="1:7" ht="12.75">
      <c r="A174" s="462" t="s">
        <v>205</v>
      </c>
      <c r="B174" s="336"/>
      <c r="C174" s="345">
        <f>+C177+C180+C183+C186+C189+C192+C195+C198+C201+C204</f>
        <v>655000</v>
      </c>
      <c r="D174" s="345">
        <f>+D177+D180+D183+D186+D189+D192+D195+D198+D201+D204</f>
        <v>435000</v>
      </c>
      <c r="E174" s="345">
        <f>+E177+E180+E183+E186+E189+E192+E195+E198+E201</f>
        <v>0</v>
      </c>
      <c r="F174" s="345">
        <f>+F177+F180+F183+F186+F189+F192+F195+F198+F201</f>
        <v>0</v>
      </c>
      <c r="G174" s="345">
        <f>+G177+G180+G183+G186+G189+G192+G195+G198+G201</f>
        <v>0</v>
      </c>
    </row>
    <row r="175" spans="1:7" ht="12.75">
      <c r="A175" s="462" t="s">
        <v>308</v>
      </c>
      <c r="B175" s="336"/>
      <c r="C175" s="345">
        <f>+C178+C181+C184+C187+C190+C193+C196+C199+C202</f>
        <v>1435000</v>
      </c>
      <c r="D175" s="345">
        <f>+D178+D181+D184+D187+D190+D193+D196+D199+D202+D205</f>
        <v>1605000</v>
      </c>
      <c r="E175" s="345">
        <f>+E178+E181+E184+E187+E190+E193+E196+E199+E202+E205</f>
        <v>600000</v>
      </c>
      <c r="F175" s="345">
        <f>+F178+F181+F184+F187+F190+F193+F196+F199+F202+F205</f>
        <v>850000</v>
      </c>
      <c r="G175" s="345">
        <f>+G178+G181+G184+G187+G190+G193+G196+G199+G202+G205</f>
        <v>450000</v>
      </c>
    </row>
    <row r="176" spans="1:7" ht="12.75">
      <c r="A176" s="343" t="s">
        <v>481</v>
      </c>
      <c r="B176" s="336"/>
      <c r="C176" s="344">
        <f>+C177+C178</f>
        <v>0</v>
      </c>
      <c r="D176" s="344">
        <f>+D177+D178</f>
        <v>0</v>
      </c>
      <c r="E176" s="344">
        <f>+E177+E178</f>
        <v>0</v>
      </c>
      <c r="F176" s="344">
        <f>+F177+F178</f>
        <v>650000</v>
      </c>
      <c r="G176" s="344">
        <f>+G177+G178</f>
        <v>0</v>
      </c>
    </row>
    <row r="177" spans="1:7" ht="12.75">
      <c r="A177" s="447" t="s">
        <v>205</v>
      </c>
      <c r="B177" s="336"/>
      <c r="C177" s="342"/>
      <c r="D177" s="342"/>
      <c r="E177" s="342"/>
      <c r="F177" s="342"/>
      <c r="G177" s="294"/>
    </row>
    <row r="178" spans="1:7" ht="12.75">
      <c r="A178" s="447" t="s">
        <v>308</v>
      </c>
      <c r="B178" s="336"/>
      <c r="C178" s="342"/>
      <c r="D178" s="342"/>
      <c r="E178" s="342"/>
      <c r="F178" s="342">
        <v>650000</v>
      </c>
      <c r="G178" s="349">
        <v>0</v>
      </c>
    </row>
    <row r="179" spans="1:7" ht="12.75">
      <c r="A179" s="343" t="s">
        <v>506</v>
      </c>
      <c r="B179" s="336"/>
      <c r="C179" s="344">
        <f>+C180+C181</f>
        <v>20000</v>
      </c>
      <c r="D179" s="344">
        <f>+D180+D181</f>
        <v>200000</v>
      </c>
      <c r="E179" s="344">
        <f>+E180+E181</f>
        <v>0</v>
      </c>
      <c r="F179" s="344">
        <f>+F180+F181</f>
        <v>0</v>
      </c>
      <c r="G179" s="344">
        <f>+G180+G181</f>
        <v>250000</v>
      </c>
    </row>
    <row r="180" spans="1:7" ht="12.75">
      <c r="A180" s="446" t="s">
        <v>205</v>
      </c>
      <c r="B180" s="336"/>
      <c r="C180" s="342"/>
      <c r="D180" s="342"/>
      <c r="E180" s="342"/>
      <c r="F180" s="342"/>
      <c r="G180" s="294"/>
    </row>
    <row r="181" spans="1:7" ht="12.75">
      <c r="A181" s="446" t="s">
        <v>308</v>
      </c>
      <c r="B181" s="350"/>
      <c r="C181" s="345">
        <v>20000</v>
      </c>
      <c r="D181" s="342">
        <v>200000</v>
      </c>
      <c r="E181" s="342"/>
      <c r="F181" s="342"/>
      <c r="G181" s="95">
        <v>250000</v>
      </c>
    </row>
    <row r="182" spans="1:7" ht="12.75">
      <c r="A182" s="343" t="s">
        <v>482</v>
      </c>
      <c r="B182" s="336"/>
      <c r="C182" s="344">
        <f>+C183+C184</f>
        <v>1900000</v>
      </c>
      <c r="D182" s="344">
        <f>+D183+D184</f>
        <v>0</v>
      </c>
      <c r="E182" s="344">
        <f>+E183+E184</f>
        <v>0</v>
      </c>
      <c r="F182" s="344">
        <f>+F183+F184</f>
        <v>0</v>
      </c>
      <c r="G182" s="344">
        <f>+G183+G184</f>
        <v>0</v>
      </c>
    </row>
    <row r="183" spans="1:7" ht="12.75">
      <c r="A183" s="446" t="s">
        <v>205</v>
      </c>
      <c r="B183" s="336"/>
      <c r="C183" s="342">
        <v>630000</v>
      </c>
      <c r="D183" s="342">
        <v>0</v>
      </c>
      <c r="E183" s="342"/>
      <c r="F183" s="342"/>
      <c r="G183" s="294"/>
    </row>
    <row r="184" spans="1:7" ht="12.75">
      <c r="A184" s="446" t="s">
        <v>308</v>
      </c>
      <c r="B184" s="336"/>
      <c r="C184" s="351">
        <v>1270000</v>
      </c>
      <c r="D184" s="342">
        <v>0</v>
      </c>
      <c r="E184" s="342"/>
      <c r="F184" s="352"/>
      <c r="G184" s="353"/>
    </row>
    <row r="185" spans="1:7" ht="12.75">
      <c r="A185" s="343" t="s">
        <v>483</v>
      </c>
      <c r="B185" s="336"/>
      <c r="C185" s="354">
        <f>+C186+C187</f>
        <v>0</v>
      </c>
      <c r="D185" s="354">
        <f>+D186+D187</f>
        <v>0</v>
      </c>
      <c r="E185" s="354">
        <f>+E186+E187</f>
        <v>400000</v>
      </c>
      <c r="F185" s="354">
        <f>+F186+F187</f>
        <v>0</v>
      </c>
      <c r="G185" s="354">
        <f>+G186+G187</f>
        <v>0</v>
      </c>
    </row>
    <row r="186" spans="1:7" ht="12.75">
      <c r="A186" s="446" t="s">
        <v>205</v>
      </c>
      <c r="B186" s="336"/>
      <c r="C186" s="355"/>
      <c r="D186" s="342"/>
      <c r="E186" s="342"/>
      <c r="F186" s="352"/>
      <c r="G186" s="353"/>
    </row>
    <row r="187" spans="1:7" ht="12.75">
      <c r="A187" s="446" t="s">
        <v>308</v>
      </c>
      <c r="B187" s="336"/>
      <c r="C187" s="95"/>
      <c r="D187" s="342">
        <v>0</v>
      </c>
      <c r="E187" s="342">
        <v>400000</v>
      </c>
      <c r="F187" s="356"/>
      <c r="G187" s="353"/>
    </row>
    <row r="188" spans="1:7" ht="12.75">
      <c r="A188" s="343" t="s">
        <v>484</v>
      </c>
      <c r="B188" s="336"/>
      <c r="C188" s="354">
        <f>+C189+C190</f>
        <v>0</v>
      </c>
      <c r="D188" s="354">
        <f>+D189+D190</f>
        <v>380000</v>
      </c>
      <c r="E188" s="354">
        <f>+E189+E190</f>
        <v>0</v>
      </c>
      <c r="F188" s="354">
        <f>+F189+F190</f>
        <v>0</v>
      </c>
      <c r="G188" s="354">
        <f>+G189+G190</f>
        <v>0</v>
      </c>
    </row>
    <row r="189" spans="1:7" ht="12.75">
      <c r="A189" s="446" t="s">
        <v>205</v>
      </c>
      <c r="B189" s="336"/>
      <c r="C189" s="355"/>
      <c r="D189" s="342"/>
      <c r="E189" s="342"/>
      <c r="F189" s="352"/>
      <c r="G189" s="353"/>
    </row>
    <row r="190" spans="1:7" ht="12.75">
      <c r="A190" s="446" t="s">
        <v>308</v>
      </c>
      <c r="B190" s="336"/>
      <c r="C190" s="95">
        <v>0</v>
      </c>
      <c r="D190" s="342">
        <v>380000</v>
      </c>
      <c r="E190" s="342"/>
      <c r="F190" s="356"/>
      <c r="G190" s="353"/>
    </row>
    <row r="191" spans="1:7" ht="12.75">
      <c r="A191" s="463" t="s">
        <v>485</v>
      </c>
      <c r="B191" s="336"/>
      <c r="C191" s="357">
        <f>+C192+C193</f>
        <v>0</v>
      </c>
      <c r="D191" s="357">
        <f>+D192+D193</f>
        <v>600000</v>
      </c>
      <c r="E191" s="357">
        <f>+E192+E193</f>
        <v>0</v>
      </c>
      <c r="F191" s="357">
        <f>+F192+F193</f>
        <v>0</v>
      </c>
      <c r="G191" s="357">
        <f>+G192+G193</f>
        <v>0</v>
      </c>
    </row>
    <row r="192" spans="1:7" ht="12.75">
      <c r="A192" s="446" t="s">
        <v>205</v>
      </c>
      <c r="B192" s="336"/>
      <c r="C192" s="355">
        <v>0</v>
      </c>
      <c r="D192" s="342">
        <v>200000</v>
      </c>
      <c r="E192" s="342"/>
      <c r="F192" s="352"/>
      <c r="G192" s="353"/>
    </row>
    <row r="193" spans="1:7" ht="12.75">
      <c r="A193" s="446" t="s">
        <v>308</v>
      </c>
      <c r="B193" s="336"/>
      <c r="C193" s="355">
        <v>0</v>
      </c>
      <c r="D193" s="342">
        <v>400000</v>
      </c>
      <c r="E193" s="342"/>
      <c r="F193" s="352"/>
      <c r="G193" s="353"/>
    </row>
    <row r="194" spans="1:7" ht="12.75">
      <c r="A194" s="463" t="s">
        <v>486</v>
      </c>
      <c r="B194" s="336"/>
      <c r="C194" s="354">
        <f>+C195+C196</f>
        <v>50000</v>
      </c>
      <c r="D194" s="354">
        <f>+D195+D196</f>
        <v>50000</v>
      </c>
      <c r="E194" s="354">
        <f>+E195+E196</f>
        <v>0</v>
      </c>
      <c r="F194" s="354">
        <f>+F195+F196</f>
        <v>0</v>
      </c>
      <c r="G194" s="354">
        <f>+G195+G196</f>
        <v>0</v>
      </c>
    </row>
    <row r="195" spans="1:7" ht="12.75">
      <c r="A195" s="446" t="s">
        <v>205</v>
      </c>
      <c r="B195" s="336"/>
      <c r="C195" s="355">
        <v>25000</v>
      </c>
      <c r="D195" s="342">
        <v>25000</v>
      </c>
      <c r="E195" s="342">
        <v>0</v>
      </c>
      <c r="F195" s="352"/>
      <c r="G195" s="353"/>
    </row>
    <row r="196" spans="1:7" ht="12.75">
      <c r="A196" s="446" t="s">
        <v>308</v>
      </c>
      <c r="B196" s="336"/>
      <c r="C196" s="355">
        <v>25000</v>
      </c>
      <c r="D196" s="342">
        <v>25000</v>
      </c>
      <c r="E196" s="342">
        <v>0</v>
      </c>
      <c r="F196" s="352">
        <v>0</v>
      </c>
      <c r="G196" s="353">
        <v>0</v>
      </c>
    </row>
    <row r="197" spans="1:7" ht="12.75">
      <c r="A197" s="343" t="s">
        <v>487</v>
      </c>
      <c r="B197" s="336"/>
      <c r="C197" s="354">
        <f>+C198+C199</f>
        <v>100000</v>
      </c>
      <c r="D197" s="354">
        <f>+D198+D199</f>
        <v>100000</v>
      </c>
      <c r="E197" s="354">
        <f>+E198+E199</f>
        <v>100000</v>
      </c>
      <c r="F197" s="354">
        <f>+F198+F199</f>
        <v>100000</v>
      </c>
      <c r="G197" s="354">
        <f>+G198+G199</f>
        <v>100000</v>
      </c>
    </row>
    <row r="198" spans="1:7" ht="12.75">
      <c r="A198" s="447" t="s">
        <v>205</v>
      </c>
      <c r="B198" s="336"/>
      <c r="C198" s="355"/>
      <c r="D198" s="342"/>
      <c r="E198" s="342"/>
      <c r="F198" s="352"/>
      <c r="G198" s="353"/>
    </row>
    <row r="199" spans="1:9" ht="12.75">
      <c r="A199" s="446" t="s">
        <v>308</v>
      </c>
      <c r="B199" s="336"/>
      <c r="C199" s="351">
        <v>100000</v>
      </c>
      <c r="D199" s="345">
        <v>100000</v>
      </c>
      <c r="E199" s="345">
        <v>100000</v>
      </c>
      <c r="F199" s="356">
        <v>100000</v>
      </c>
      <c r="G199" s="303">
        <v>100000</v>
      </c>
      <c r="I199" s="297"/>
    </row>
    <row r="200" spans="1:7" ht="12.75">
      <c r="A200" s="343" t="s">
        <v>488</v>
      </c>
      <c r="B200" s="336"/>
      <c r="C200" s="354">
        <f>+C201+C202</f>
        <v>20000</v>
      </c>
      <c r="D200" s="354">
        <f>+D201+D202</f>
        <v>580000</v>
      </c>
      <c r="E200" s="354">
        <f>+E201+E202</f>
        <v>0</v>
      </c>
      <c r="F200" s="354">
        <f>+F201+F202</f>
        <v>0</v>
      </c>
      <c r="G200" s="354">
        <f>+G201+G202</f>
        <v>0</v>
      </c>
    </row>
    <row r="201" spans="1:7" ht="12.75">
      <c r="A201" s="447" t="s">
        <v>205</v>
      </c>
      <c r="B201" s="336"/>
      <c r="C201" s="355"/>
      <c r="D201" s="342">
        <v>210000</v>
      </c>
      <c r="E201" s="342"/>
      <c r="F201" s="352"/>
      <c r="G201" s="353"/>
    </row>
    <row r="202" spans="1:7" ht="12.75">
      <c r="A202" s="447" t="s">
        <v>308</v>
      </c>
      <c r="B202" s="336"/>
      <c r="C202" s="351">
        <v>20000</v>
      </c>
      <c r="D202" s="345">
        <v>370000</v>
      </c>
      <c r="E202" s="345"/>
      <c r="F202" s="356"/>
      <c r="G202" s="353"/>
    </row>
    <row r="203" spans="1:7" s="297" customFormat="1" ht="12.75">
      <c r="A203" s="549" t="s">
        <v>535</v>
      </c>
      <c r="B203" s="361"/>
      <c r="C203" s="548">
        <f>+C204+C205</f>
        <v>0</v>
      </c>
      <c r="D203" s="548">
        <f>+D204+D205</f>
        <v>130000</v>
      </c>
      <c r="E203" s="548">
        <f>+E204+E205</f>
        <v>100000</v>
      </c>
      <c r="F203" s="548">
        <f>+F204+F205</f>
        <v>100000</v>
      </c>
      <c r="G203" s="548">
        <f>+G204+G205</f>
        <v>100000</v>
      </c>
    </row>
    <row r="204" spans="1:7" ht="12.75">
      <c r="A204" s="447" t="s">
        <v>205</v>
      </c>
      <c r="B204" s="336"/>
      <c r="C204" s="351"/>
      <c r="D204" s="345"/>
      <c r="E204" s="345"/>
      <c r="F204" s="356"/>
      <c r="G204" s="547"/>
    </row>
    <row r="205" spans="1:7" ht="12.75">
      <c r="A205" s="447" t="s">
        <v>308</v>
      </c>
      <c r="B205" s="336"/>
      <c r="C205" s="351"/>
      <c r="D205" s="345">
        <v>130000</v>
      </c>
      <c r="E205" s="345">
        <v>100000</v>
      </c>
      <c r="F205" s="356">
        <v>100000</v>
      </c>
      <c r="G205" s="360">
        <v>100000</v>
      </c>
    </row>
    <row r="206" spans="1:8" ht="13.5">
      <c r="A206" s="449" t="s">
        <v>491</v>
      </c>
      <c r="B206" s="450"/>
      <c r="C206" s="451">
        <f>SUM(C207:C208)</f>
        <v>1463000</v>
      </c>
      <c r="D206" s="451">
        <f>SUM(D207:D208)</f>
        <v>2108000</v>
      </c>
      <c r="E206" s="451">
        <f>SUM(E207:E208)</f>
        <v>4500000</v>
      </c>
      <c r="F206" s="451">
        <f>SUM(F207:F208)</f>
        <v>880000</v>
      </c>
      <c r="G206" s="452">
        <f>SUM(G207:G208)</f>
        <v>5000000</v>
      </c>
      <c r="H206" s="326">
        <f>SUM(C206:G206)</f>
        <v>13951000</v>
      </c>
    </row>
    <row r="207" spans="1:7" ht="12.75">
      <c r="A207" s="446" t="s">
        <v>205</v>
      </c>
      <c r="B207" s="336"/>
      <c r="C207" s="323">
        <f>+C210+C213+C216+C222+C225+C228+C231+C234</f>
        <v>173000</v>
      </c>
      <c r="D207" s="323">
        <f>+D210+D213+D216+D219+D225+D234</f>
        <v>513000</v>
      </c>
      <c r="E207" s="323">
        <f>+E210+E213+E216+E219+E225+E234</f>
        <v>1500000</v>
      </c>
      <c r="F207" s="323">
        <f>+F210+F213+F216+F225+F234</f>
        <v>0</v>
      </c>
      <c r="G207" s="323">
        <f>+G210+G213+G216+G225+G234</f>
        <v>0</v>
      </c>
    </row>
    <row r="208" spans="1:7" ht="12.75">
      <c r="A208" s="446" t="s">
        <v>308</v>
      </c>
      <c r="B208" s="336"/>
      <c r="C208" s="323">
        <f>+C211+C214+C217+C223+C226+C229+C232+C235</f>
        <v>1290000</v>
      </c>
      <c r="D208" s="323">
        <f>+D211+D214+D217+D220+D226+D235</f>
        <v>1595000</v>
      </c>
      <c r="E208" s="323">
        <f>+E211+E214+E217+E220+E226+E235</f>
        <v>3000000</v>
      </c>
      <c r="F208" s="323">
        <f>+F211+F214+F217+F220+F226+F235</f>
        <v>880000</v>
      </c>
      <c r="G208" s="323">
        <f>+G211+G214+G217+G220+G226+G235</f>
        <v>5000000</v>
      </c>
    </row>
    <row r="209" spans="1:7" ht="12.75">
      <c r="A209" s="343" t="s">
        <v>492</v>
      </c>
      <c r="B209" s="336"/>
      <c r="C209" s="319">
        <f>SUM(C210:C211)</f>
        <v>308000</v>
      </c>
      <c r="D209" s="319">
        <f>SUM(D210:D211)</f>
        <v>0</v>
      </c>
      <c r="E209" s="319">
        <v>0</v>
      </c>
      <c r="F209" s="319">
        <f>SUM(F210:F211)</f>
        <v>0</v>
      </c>
      <c r="G209" s="324">
        <f>SUM(G210:G211)</f>
        <v>0</v>
      </c>
    </row>
    <row r="210" spans="1:7" ht="12.75">
      <c r="A210" s="446" t="s">
        <v>205</v>
      </c>
      <c r="B210" s="336"/>
      <c r="C210" s="323">
        <v>173000</v>
      </c>
      <c r="D210" s="323"/>
      <c r="E210" s="323"/>
      <c r="F210" s="323"/>
      <c r="G210" s="323"/>
    </row>
    <row r="211" spans="1:7" ht="12.75">
      <c r="A211" s="446" t="s">
        <v>308</v>
      </c>
      <c r="B211" s="336"/>
      <c r="C211" s="323">
        <v>135000</v>
      </c>
      <c r="D211" s="323"/>
      <c r="E211" s="323"/>
      <c r="F211" s="323"/>
      <c r="G211" s="323"/>
    </row>
    <row r="212" spans="1:7" ht="12.75">
      <c r="A212" s="318" t="s">
        <v>530</v>
      </c>
      <c r="B212" s="336"/>
      <c r="C212" s="319">
        <f>SUM(C213:C214)</f>
        <v>100000</v>
      </c>
      <c r="D212" s="319">
        <f>SUM(D213:D214)</f>
        <v>1513000</v>
      </c>
      <c r="E212" s="319">
        <f>SUM(E213:E214)</f>
        <v>0</v>
      </c>
      <c r="F212" s="319">
        <f>SUM(F213:F214)</f>
        <v>0</v>
      </c>
      <c r="G212" s="324">
        <f>SUM(G213:G214)</f>
        <v>0</v>
      </c>
    </row>
    <row r="213" spans="1:7" ht="12.75">
      <c r="A213" s="446" t="s">
        <v>205</v>
      </c>
      <c r="B213" s="336"/>
      <c r="C213" s="294"/>
      <c r="D213" s="323">
        <v>513000</v>
      </c>
      <c r="E213" s="323"/>
      <c r="F213" s="323"/>
      <c r="G213" s="323"/>
    </row>
    <row r="214" spans="1:7" ht="12.75">
      <c r="A214" s="446" t="s">
        <v>308</v>
      </c>
      <c r="B214" s="336"/>
      <c r="C214" s="323">
        <v>100000</v>
      </c>
      <c r="D214" s="323">
        <v>1000000</v>
      </c>
      <c r="E214" s="323">
        <v>0</v>
      </c>
      <c r="F214" s="323"/>
      <c r="G214" s="323"/>
    </row>
    <row r="215" spans="1:7" ht="12.75">
      <c r="A215" s="318" t="s">
        <v>493</v>
      </c>
      <c r="B215" s="336"/>
      <c r="C215" s="319">
        <f>SUM(C216:C217)</f>
        <v>700000</v>
      </c>
      <c r="D215" s="319">
        <f>SUM(D216:D217)</f>
        <v>300000</v>
      </c>
      <c r="E215" s="319">
        <f>SUM(E216:E217)</f>
        <v>0</v>
      </c>
      <c r="F215" s="319">
        <f>SUM(F216:F217)</f>
        <v>0</v>
      </c>
      <c r="G215" s="324">
        <f>SUM(G216:G217)</f>
        <v>0</v>
      </c>
    </row>
    <row r="216" spans="1:7" ht="12.75">
      <c r="A216" s="446" t="s">
        <v>205</v>
      </c>
      <c r="B216" s="336"/>
      <c r="C216" s="323"/>
      <c r="D216" s="323"/>
      <c r="E216" s="323"/>
      <c r="F216" s="323"/>
      <c r="G216" s="323"/>
    </row>
    <row r="217" spans="1:7" ht="12.75">
      <c r="A217" s="446" t="s">
        <v>308</v>
      </c>
      <c r="B217" s="336"/>
      <c r="C217" s="323">
        <v>700000</v>
      </c>
      <c r="D217" s="323">
        <v>300000</v>
      </c>
      <c r="E217" s="323"/>
      <c r="F217" s="323"/>
      <c r="G217" s="323"/>
    </row>
    <row r="218" spans="1:7" s="297" customFormat="1" ht="12.75">
      <c r="A218" s="298" t="s">
        <v>536</v>
      </c>
      <c r="B218" s="361"/>
      <c r="C218" s="358"/>
      <c r="D218" s="358">
        <f>+D219+D220</f>
        <v>75000</v>
      </c>
      <c r="E218" s="358">
        <f>+E219+E220</f>
        <v>500000</v>
      </c>
      <c r="F218" s="358">
        <f>+F219+F220</f>
        <v>500000</v>
      </c>
      <c r="G218" s="358">
        <f>+G219+G220</f>
        <v>5000000</v>
      </c>
    </row>
    <row r="219" spans="1:7" ht="12.75">
      <c r="A219" s="446" t="s">
        <v>205</v>
      </c>
      <c r="B219" s="336"/>
      <c r="C219" s="323"/>
      <c r="D219" s="323"/>
      <c r="E219" s="323"/>
      <c r="F219" s="323"/>
      <c r="G219" s="323"/>
    </row>
    <row r="220" spans="1:7" ht="12.75">
      <c r="A220" s="446" t="s">
        <v>308</v>
      </c>
      <c r="B220" s="336"/>
      <c r="C220" s="323"/>
      <c r="D220" s="323">
        <v>75000</v>
      </c>
      <c r="E220" s="323">
        <v>500000</v>
      </c>
      <c r="F220" s="323">
        <v>500000</v>
      </c>
      <c r="G220" s="323">
        <v>5000000</v>
      </c>
    </row>
    <row r="221" spans="1:7" ht="12.75">
      <c r="A221" s="318" t="s">
        <v>507</v>
      </c>
      <c r="B221" s="336"/>
      <c r="C221" s="358">
        <f>+C222+C223</f>
        <v>140000</v>
      </c>
      <c r="D221" s="359">
        <f>+D222+D223</f>
        <v>0</v>
      </c>
      <c r="E221" s="359">
        <f>+E222+E223</f>
        <v>0</v>
      </c>
      <c r="F221" s="359">
        <f>+F222+F223</f>
        <v>0</v>
      </c>
      <c r="G221" s="359">
        <f>+G222+G223</f>
        <v>0</v>
      </c>
    </row>
    <row r="222" spans="1:7" ht="12.75">
      <c r="A222" s="446" t="s">
        <v>205</v>
      </c>
      <c r="B222" s="336"/>
      <c r="C222" s="323"/>
      <c r="D222" s="323"/>
      <c r="E222" s="323"/>
      <c r="F222" s="323"/>
      <c r="G222" s="360"/>
    </row>
    <row r="223" spans="1:7" ht="12.75">
      <c r="A223" s="446" t="s">
        <v>308</v>
      </c>
      <c r="B223" s="336"/>
      <c r="C223" s="323">
        <v>140000</v>
      </c>
      <c r="D223" s="323"/>
      <c r="E223" s="323"/>
      <c r="F223" s="323"/>
      <c r="G223" s="360"/>
    </row>
    <row r="224" spans="1:7" ht="12.75">
      <c r="A224" s="318" t="s">
        <v>494</v>
      </c>
      <c r="B224" s="336"/>
      <c r="C224" s="319">
        <f>SUM(C225:C226)</f>
        <v>75000</v>
      </c>
      <c r="D224" s="319">
        <f>SUM(D225:D226)</f>
        <v>220000</v>
      </c>
      <c r="E224" s="319">
        <f>SUM(E225:E226)</f>
        <v>4000000</v>
      </c>
      <c r="F224" s="319">
        <f>SUM(F225:F226)</f>
        <v>0</v>
      </c>
      <c r="G224" s="324">
        <f>SUM(G225:G226)</f>
        <v>0</v>
      </c>
    </row>
    <row r="225" spans="1:7" ht="12.75">
      <c r="A225" s="446" t="s">
        <v>205</v>
      </c>
      <c r="B225" s="336"/>
      <c r="C225" s="323"/>
      <c r="D225" s="323"/>
      <c r="E225" s="323">
        <v>1500000</v>
      </c>
      <c r="F225" s="323"/>
      <c r="G225" s="323"/>
    </row>
    <row r="226" spans="1:7" ht="12.75">
      <c r="A226" s="446" t="s">
        <v>308</v>
      </c>
      <c r="B226" s="336"/>
      <c r="C226" s="323">
        <v>75000</v>
      </c>
      <c r="D226" s="323">
        <v>220000</v>
      </c>
      <c r="E226" s="323">
        <v>2500000</v>
      </c>
      <c r="F226" s="323">
        <v>0</v>
      </c>
      <c r="G226" s="323">
        <v>0</v>
      </c>
    </row>
    <row r="227" spans="1:7" s="297" customFormat="1" ht="12.75">
      <c r="A227" s="298" t="s">
        <v>508</v>
      </c>
      <c r="B227" s="361"/>
      <c r="C227" s="358">
        <f>+C228+C229</f>
        <v>140000</v>
      </c>
      <c r="D227" s="358">
        <f>+D228+D229</f>
        <v>0</v>
      </c>
      <c r="E227" s="358">
        <f>+E228+E229</f>
        <v>0</v>
      </c>
      <c r="F227" s="358">
        <f>+F228+F229</f>
        <v>0</v>
      </c>
      <c r="G227" s="358">
        <f>+G228+G229</f>
        <v>0</v>
      </c>
    </row>
    <row r="228" spans="1:7" ht="12.75">
      <c r="A228" s="446" t="s">
        <v>205</v>
      </c>
      <c r="B228" s="336"/>
      <c r="C228" s="323"/>
      <c r="D228" s="323"/>
      <c r="E228" s="323"/>
      <c r="F228" s="323"/>
      <c r="G228" s="360"/>
    </row>
    <row r="229" spans="1:7" ht="12.75">
      <c r="A229" s="446" t="s">
        <v>308</v>
      </c>
      <c r="B229" s="336"/>
      <c r="C229" s="323">
        <v>140000</v>
      </c>
      <c r="D229" s="323"/>
      <c r="E229" s="323"/>
      <c r="F229" s="323"/>
      <c r="G229" s="360"/>
    </row>
    <row r="230" spans="1:7" ht="12.75">
      <c r="A230" s="298" t="s">
        <v>509</v>
      </c>
      <c r="B230" s="336"/>
      <c r="C230" s="359">
        <f>+C231+C232</f>
        <v>0</v>
      </c>
      <c r="D230" s="359">
        <f>+D231+D232</f>
        <v>0</v>
      </c>
      <c r="E230" s="359">
        <f>+E231+E232</f>
        <v>0</v>
      </c>
      <c r="F230" s="359">
        <f>+F231+F232</f>
        <v>0</v>
      </c>
      <c r="G230" s="359">
        <f>+G231+G232</f>
        <v>0</v>
      </c>
    </row>
    <row r="231" spans="1:7" ht="12.75">
      <c r="A231" s="446" t="s">
        <v>205</v>
      </c>
      <c r="B231" s="336"/>
      <c r="C231" s="323"/>
      <c r="D231" s="323"/>
      <c r="E231" s="323"/>
      <c r="F231" s="323"/>
      <c r="G231" s="360"/>
    </row>
    <row r="232" spans="1:7" ht="12.75">
      <c r="A232" s="446" t="s">
        <v>308</v>
      </c>
      <c r="B232" s="336"/>
      <c r="C232" s="323">
        <v>0</v>
      </c>
      <c r="D232" s="323"/>
      <c r="E232" s="323"/>
      <c r="F232" s="323"/>
      <c r="G232" s="360"/>
    </row>
    <row r="233" spans="1:7" ht="12.75">
      <c r="A233" s="318" t="s">
        <v>495</v>
      </c>
      <c r="B233" s="336"/>
      <c r="C233" s="319">
        <f>SUM(C234:C235)</f>
        <v>0</v>
      </c>
      <c r="D233" s="319">
        <f>SUM(D234:D235)</f>
        <v>0</v>
      </c>
      <c r="E233" s="319">
        <f>SUM(E234:E235)</f>
        <v>0</v>
      </c>
      <c r="F233" s="319">
        <f>SUM(F234:F235)</f>
        <v>380000</v>
      </c>
      <c r="G233" s="324">
        <f>SUM(G234:G235)</f>
        <v>0</v>
      </c>
    </row>
    <row r="234" spans="1:7" ht="12.75">
      <c r="A234" s="446" t="s">
        <v>205</v>
      </c>
      <c r="B234" s="336"/>
      <c r="C234" s="294"/>
      <c r="D234" s="323"/>
      <c r="E234" s="323"/>
      <c r="F234" s="323"/>
      <c r="G234" s="323"/>
    </row>
    <row r="235" spans="1:7" ht="12.75">
      <c r="A235" s="446" t="s">
        <v>308</v>
      </c>
      <c r="B235" s="336"/>
      <c r="C235" s="323"/>
      <c r="D235" s="323">
        <v>0</v>
      </c>
      <c r="E235" s="323"/>
      <c r="F235" s="323">
        <v>380000</v>
      </c>
      <c r="G235" s="323"/>
    </row>
    <row r="236" spans="1:8" ht="13.5">
      <c r="A236" s="455" t="s">
        <v>6</v>
      </c>
      <c r="B236" s="456"/>
      <c r="C236" s="457">
        <f>SUM(C237:C238)</f>
        <v>5593000</v>
      </c>
      <c r="D236" s="458">
        <f>SUM(D237:D238)</f>
        <v>7358000</v>
      </c>
      <c r="E236" s="458">
        <f>SUM(E237:E238)</f>
        <v>7360000</v>
      </c>
      <c r="F236" s="459">
        <f>SUM(F237:F238)</f>
        <v>3100000</v>
      </c>
      <c r="G236" s="459">
        <f>SUM(G237:G238)</f>
        <v>7180000</v>
      </c>
      <c r="H236" s="326">
        <f>+G236+F236+E236+D236+C236</f>
        <v>30591000</v>
      </c>
    </row>
    <row r="237" spans="1:9" ht="12.75">
      <c r="A237" s="341" t="s">
        <v>205</v>
      </c>
      <c r="B237" s="456"/>
      <c r="C237" s="460">
        <f aca="true" t="shared" si="28" ref="C237:G238">+C96+C99+C153+C159+C174+C207</f>
        <v>1028000</v>
      </c>
      <c r="D237" s="460">
        <f t="shared" si="28"/>
        <v>1643000</v>
      </c>
      <c r="E237" s="460">
        <f t="shared" si="28"/>
        <v>1900000</v>
      </c>
      <c r="F237" s="460">
        <f t="shared" si="28"/>
        <v>0</v>
      </c>
      <c r="G237" s="460">
        <f t="shared" si="28"/>
        <v>300000</v>
      </c>
      <c r="H237" s="326">
        <f>+G237+F237+E237+D237+C237</f>
        <v>4871000</v>
      </c>
      <c r="I237" s="326">
        <f>+H237+H238</f>
        <v>30591000</v>
      </c>
    </row>
    <row r="238" spans="1:8" ht="13.5" thickBot="1">
      <c r="A238" s="362" t="s">
        <v>308</v>
      </c>
      <c r="B238" s="456"/>
      <c r="C238" s="461">
        <f t="shared" si="28"/>
        <v>4565000</v>
      </c>
      <c r="D238" s="461">
        <f t="shared" si="28"/>
        <v>5715000</v>
      </c>
      <c r="E238" s="461">
        <f t="shared" si="28"/>
        <v>5460000</v>
      </c>
      <c r="F238" s="461">
        <f t="shared" si="28"/>
        <v>3100000</v>
      </c>
      <c r="G238" s="461">
        <f t="shared" si="28"/>
        <v>6880000</v>
      </c>
      <c r="H238" s="326">
        <f>+G238+F238+E238+D238+C238</f>
        <v>25720000</v>
      </c>
    </row>
  </sheetData>
  <sheetProtection/>
  <mergeCells count="1">
    <mergeCell ref="H57:M57"/>
  </mergeCells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00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341</v>
      </c>
      <c r="B1" s="231" t="s">
        <v>415</v>
      </c>
      <c r="C1" s="231" t="s">
        <v>416</v>
      </c>
      <c r="D1" s="231" t="s">
        <v>375</v>
      </c>
      <c r="E1" s="231" t="s">
        <v>402</v>
      </c>
      <c r="F1" s="231" t="s">
        <v>413</v>
      </c>
      <c r="G1" s="231" t="s">
        <v>417</v>
      </c>
      <c r="H1" s="98" t="s">
        <v>294</v>
      </c>
      <c r="I1" s="233" t="s">
        <v>414</v>
      </c>
      <c r="J1" s="233" t="s">
        <v>418</v>
      </c>
      <c r="K1" s="246" t="s">
        <v>361</v>
      </c>
      <c r="L1" s="246" t="s">
        <v>361</v>
      </c>
    </row>
    <row r="2" spans="1:12" ht="12.75">
      <c r="A2" s="47" t="s">
        <v>187</v>
      </c>
      <c r="B2" s="14">
        <f aca="true" t="shared" si="0" ref="B2:G2">B3+B6</f>
        <v>0</v>
      </c>
      <c r="C2" s="14">
        <f t="shared" si="0"/>
        <v>0</v>
      </c>
      <c r="D2" s="14">
        <f t="shared" si="0"/>
        <v>0</v>
      </c>
      <c r="E2" s="14">
        <f t="shared" si="0"/>
        <v>0</v>
      </c>
      <c r="F2" s="14">
        <f t="shared" si="0"/>
        <v>0</v>
      </c>
      <c r="G2" s="15">
        <f t="shared" si="0"/>
        <v>0</v>
      </c>
      <c r="I2" s="100">
        <f>Eelarvearuanne!H56</f>
        <v>0</v>
      </c>
      <c r="J2" s="5">
        <f>Eelarvearuanne!D56</f>
        <v>0</v>
      </c>
      <c r="K2" s="100">
        <f>B2-I2</f>
        <v>0</v>
      </c>
      <c r="L2" s="100">
        <f>C2-J2</f>
        <v>0</v>
      </c>
    </row>
    <row r="3" spans="1:7" ht="12">
      <c r="A3" s="45" t="s">
        <v>174</v>
      </c>
      <c r="B3" s="24">
        <f aca="true" t="shared" si="1" ref="B3:G3">B4+B5</f>
        <v>0</v>
      </c>
      <c r="C3" s="24">
        <f t="shared" si="1"/>
        <v>0</v>
      </c>
      <c r="D3" s="24">
        <f t="shared" si="1"/>
        <v>0</v>
      </c>
      <c r="E3" s="24">
        <f t="shared" si="1"/>
        <v>0</v>
      </c>
      <c r="F3" s="24">
        <f t="shared" si="1"/>
        <v>0</v>
      </c>
      <c r="G3" s="25">
        <f t="shared" si="1"/>
        <v>0</v>
      </c>
    </row>
    <row r="4" spans="1:10" ht="12.75">
      <c r="A4" s="45" t="s">
        <v>179</v>
      </c>
      <c r="B4" s="33"/>
      <c r="C4" s="33"/>
      <c r="D4" s="33"/>
      <c r="E4" s="33"/>
      <c r="F4" s="33"/>
      <c r="G4" s="46"/>
      <c r="H4" s="1" t="s">
        <v>352</v>
      </c>
      <c r="I4" s="234"/>
      <c r="J4" s="234"/>
    </row>
    <row r="5" spans="1:12" ht="12">
      <c r="A5" s="45" t="s">
        <v>180</v>
      </c>
      <c r="B5" s="33"/>
      <c r="C5" s="33"/>
      <c r="D5" s="33"/>
      <c r="E5" s="33"/>
      <c r="F5" s="33"/>
      <c r="G5" s="46"/>
      <c r="H5" t="s">
        <v>302</v>
      </c>
      <c r="L5" s="245"/>
    </row>
    <row r="6" spans="1:7" ht="12">
      <c r="A6" s="45" t="s">
        <v>175</v>
      </c>
      <c r="B6" s="24">
        <f aca="true" t="shared" si="2" ref="B6:G6">B7+B8</f>
        <v>0</v>
      </c>
      <c r="C6" s="24">
        <f t="shared" si="2"/>
        <v>0</v>
      </c>
      <c r="D6" s="24">
        <f t="shared" si="2"/>
        <v>0</v>
      </c>
      <c r="E6" s="24">
        <f t="shared" si="2"/>
        <v>0</v>
      </c>
      <c r="F6" s="24">
        <f t="shared" si="2"/>
        <v>0</v>
      </c>
      <c r="G6" s="25">
        <f t="shared" si="2"/>
        <v>0</v>
      </c>
    </row>
    <row r="7" spans="1:7" ht="12">
      <c r="A7" s="45" t="s">
        <v>179</v>
      </c>
      <c r="B7" s="33"/>
      <c r="C7" s="33"/>
      <c r="D7" s="33"/>
      <c r="E7" s="33"/>
      <c r="F7" s="33"/>
      <c r="G7" s="46"/>
    </row>
    <row r="8" spans="1:10" ht="12">
      <c r="A8" s="45" t="s">
        <v>180</v>
      </c>
      <c r="B8" s="33"/>
      <c r="C8" s="33"/>
      <c r="D8" s="33"/>
      <c r="E8" s="33"/>
      <c r="F8" s="33"/>
      <c r="G8" s="46"/>
      <c r="H8" s="101" t="s">
        <v>376</v>
      </c>
      <c r="I8" s="235"/>
      <c r="J8" s="235"/>
    </row>
    <row r="9" spans="1:12" ht="12.75">
      <c r="A9" s="47" t="s">
        <v>188</v>
      </c>
      <c r="B9" s="14">
        <f aca="true" t="shared" si="3" ref="B9:G9">B10+B13</f>
        <v>0</v>
      </c>
      <c r="C9" s="14">
        <f t="shared" si="3"/>
        <v>0</v>
      </c>
      <c r="D9" s="14">
        <f t="shared" si="3"/>
        <v>0</v>
      </c>
      <c r="E9" s="14">
        <f t="shared" si="3"/>
        <v>0</v>
      </c>
      <c r="F9" s="14">
        <f t="shared" si="3"/>
        <v>0</v>
      </c>
      <c r="G9" s="15">
        <f t="shared" si="3"/>
        <v>0</v>
      </c>
      <c r="I9" s="100">
        <f>Eelarvearuanne!H63</f>
        <v>0</v>
      </c>
      <c r="J9" s="100">
        <f>Eelarvearuanne!D63</f>
        <v>0</v>
      </c>
      <c r="K9" s="100">
        <f>B9-I9</f>
        <v>0</v>
      </c>
      <c r="L9" s="100">
        <f>C9-J9</f>
        <v>0</v>
      </c>
    </row>
    <row r="10" spans="1:7" ht="12">
      <c r="A10" s="45" t="s">
        <v>174</v>
      </c>
      <c r="B10" s="24">
        <f aca="true" t="shared" si="4" ref="B10:G10">B11+B12</f>
        <v>0</v>
      </c>
      <c r="C10" s="24">
        <f t="shared" si="4"/>
        <v>0</v>
      </c>
      <c r="D10" s="24">
        <f t="shared" si="4"/>
        <v>0</v>
      </c>
      <c r="E10" s="24">
        <f t="shared" si="4"/>
        <v>0</v>
      </c>
      <c r="F10" s="24">
        <f t="shared" si="4"/>
        <v>0</v>
      </c>
      <c r="G10" s="25">
        <f t="shared" si="4"/>
        <v>0</v>
      </c>
    </row>
    <row r="11" spans="1:7" ht="12">
      <c r="A11" s="45" t="s">
        <v>179</v>
      </c>
      <c r="B11" s="33"/>
      <c r="C11" s="33"/>
      <c r="D11" s="33"/>
      <c r="E11" s="33"/>
      <c r="F11" s="33"/>
      <c r="G11" s="46"/>
    </row>
    <row r="12" spans="1:7" ht="12">
      <c r="A12" s="45" t="s">
        <v>180</v>
      </c>
      <c r="B12" s="33"/>
      <c r="C12" s="33"/>
      <c r="D12" s="33"/>
      <c r="E12" s="33"/>
      <c r="F12" s="33"/>
      <c r="G12" s="46"/>
    </row>
    <row r="13" spans="1:7" ht="12">
      <c r="A13" s="45" t="s">
        <v>175</v>
      </c>
      <c r="B13" s="24">
        <f aca="true" t="shared" si="5" ref="B13:G13">B14+B15</f>
        <v>0</v>
      </c>
      <c r="C13" s="24">
        <f t="shared" si="5"/>
        <v>0</v>
      </c>
      <c r="D13" s="24">
        <f t="shared" si="5"/>
        <v>0</v>
      </c>
      <c r="E13" s="24">
        <f t="shared" si="5"/>
        <v>0</v>
      </c>
      <c r="F13" s="24">
        <f t="shared" si="5"/>
        <v>0</v>
      </c>
      <c r="G13" s="25">
        <f t="shared" si="5"/>
        <v>0</v>
      </c>
    </row>
    <row r="14" spans="1:7" ht="12">
      <c r="A14" s="45" t="s">
        <v>179</v>
      </c>
      <c r="B14" s="33"/>
      <c r="C14" s="33"/>
      <c r="D14" s="33"/>
      <c r="E14" s="33"/>
      <c r="F14" s="33"/>
      <c r="G14" s="46"/>
    </row>
    <row r="15" spans="1:7" ht="12">
      <c r="A15" s="45" t="s">
        <v>180</v>
      </c>
      <c r="B15" s="33"/>
      <c r="C15" s="33"/>
      <c r="D15" s="33"/>
      <c r="E15" s="33"/>
      <c r="F15" s="33"/>
      <c r="G15" s="46"/>
    </row>
    <row r="16" spans="1:12" ht="12.75">
      <c r="A16" s="47" t="s">
        <v>189</v>
      </c>
      <c r="B16" s="14">
        <f aca="true" t="shared" si="6" ref="B16:G16">B17+B20</f>
        <v>0</v>
      </c>
      <c r="C16" s="14">
        <f t="shared" si="6"/>
        <v>0</v>
      </c>
      <c r="D16" s="14">
        <f t="shared" si="6"/>
        <v>0</v>
      </c>
      <c r="E16" s="14">
        <f t="shared" si="6"/>
        <v>0</v>
      </c>
      <c r="F16" s="14">
        <f t="shared" si="6"/>
        <v>0</v>
      </c>
      <c r="G16" s="15">
        <f t="shared" si="6"/>
        <v>0</v>
      </c>
      <c r="I16" s="100">
        <f>Eelarvearuanne!H64</f>
        <v>0</v>
      </c>
      <c r="J16" s="100">
        <f>Eelarvearuanne!D64</f>
        <v>0</v>
      </c>
      <c r="K16" s="100">
        <f>B16-I16</f>
        <v>0</v>
      </c>
      <c r="L16" s="100">
        <f>C16-J16</f>
        <v>0</v>
      </c>
    </row>
    <row r="17" spans="1:7" ht="12">
      <c r="A17" s="45" t="s">
        <v>174</v>
      </c>
      <c r="B17" s="24">
        <f aca="true" t="shared" si="7" ref="B17:G17">B18+B19</f>
        <v>0</v>
      </c>
      <c r="C17" s="24">
        <f t="shared" si="7"/>
        <v>0</v>
      </c>
      <c r="D17" s="24">
        <f t="shared" si="7"/>
        <v>0</v>
      </c>
      <c r="E17" s="24">
        <f t="shared" si="7"/>
        <v>0</v>
      </c>
      <c r="F17" s="24">
        <f t="shared" si="7"/>
        <v>0</v>
      </c>
      <c r="G17" s="25">
        <f t="shared" si="7"/>
        <v>0</v>
      </c>
    </row>
    <row r="18" spans="1:7" ht="12">
      <c r="A18" s="45" t="s">
        <v>179</v>
      </c>
      <c r="B18" s="33"/>
      <c r="C18" s="33"/>
      <c r="D18" s="33"/>
      <c r="E18" s="33"/>
      <c r="F18" s="33"/>
      <c r="G18" s="46"/>
    </row>
    <row r="19" spans="1:7" ht="12">
      <c r="A19" s="45" t="s">
        <v>180</v>
      </c>
      <c r="B19" s="33"/>
      <c r="C19" s="33"/>
      <c r="D19" s="33"/>
      <c r="E19" s="33"/>
      <c r="F19" s="33"/>
      <c r="G19" s="46"/>
    </row>
    <row r="20" spans="1:7" ht="12">
      <c r="A20" s="45" t="s">
        <v>175</v>
      </c>
      <c r="B20" s="24">
        <f aca="true" t="shared" si="8" ref="B20:G20">B21+B22</f>
        <v>0</v>
      </c>
      <c r="C20" s="24">
        <f t="shared" si="8"/>
        <v>0</v>
      </c>
      <c r="D20" s="24">
        <f t="shared" si="8"/>
        <v>0</v>
      </c>
      <c r="E20" s="24">
        <f t="shared" si="8"/>
        <v>0</v>
      </c>
      <c r="F20" s="24">
        <f t="shared" si="8"/>
        <v>0</v>
      </c>
      <c r="G20" s="25">
        <f t="shared" si="8"/>
        <v>0</v>
      </c>
    </row>
    <row r="21" spans="1:7" ht="12">
      <c r="A21" s="45" t="s">
        <v>179</v>
      </c>
      <c r="B21" s="33"/>
      <c r="C21" s="33"/>
      <c r="D21" s="33"/>
      <c r="E21" s="33"/>
      <c r="F21" s="33"/>
      <c r="G21" s="46"/>
    </row>
    <row r="22" spans="1:7" ht="12">
      <c r="A22" s="45" t="s">
        <v>180</v>
      </c>
      <c r="B22" s="33"/>
      <c r="C22" s="33"/>
      <c r="D22" s="33"/>
      <c r="E22" s="33"/>
      <c r="F22" s="33"/>
      <c r="G22" s="46"/>
    </row>
    <row r="23" spans="1:12" ht="12.75">
      <c r="A23" s="47" t="s">
        <v>190</v>
      </c>
      <c r="B23" s="14">
        <f aca="true" t="shared" si="9" ref="B23:G23">B24+B27</f>
        <v>0</v>
      </c>
      <c r="C23" s="14">
        <f t="shared" si="9"/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5">
        <f t="shared" si="9"/>
        <v>0</v>
      </c>
      <c r="I23" s="100">
        <f>Eelarvearuanne!H68</f>
        <v>0</v>
      </c>
      <c r="J23" s="100">
        <f>Eelarvearuanne!D68</f>
        <v>0</v>
      </c>
      <c r="K23" s="100">
        <f>B23-I23</f>
        <v>0</v>
      </c>
      <c r="L23" s="100">
        <f>C23-J23</f>
        <v>0</v>
      </c>
    </row>
    <row r="24" spans="1:7" ht="12">
      <c r="A24" s="45" t="s">
        <v>174</v>
      </c>
      <c r="B24" s="24">
        <f aca="true" t="shared" si="10" ref="B24:G24">B25+B26</f>
        <v>0</v>
      </c>
      <c r="C24" s="24">
        <f t="shared" si="10"/>
        <v>0</v>
      </c>
      <c r="D24" s="24">
        <f t="shared" si="10"/>
        <v>0</v>
      </c>
      <c r="E24" s="24">
        <f t="shared" si="10"/>
        <v>0</v>
      </c>
      <c r="F24" s="24">
        <f t="shared" si="10"/>
        <v>0</v>
      </c>
      <c r="G24" s="25">
        <f t="shared" si="10"/>
        <v>0</v>
      </c>
    </row>
    <row r="25" spans="1:7" ht="12">
      <c r="A25" s="45" t="s">
        <v>179</v>
      </c>
      <c r="B25" s="33"/>
      <c r="C25" s="33"/>
      <c r="D25" s="33"/>
      <c r="E25" s="33"/>
      <c r="F25" s="33"/>
      <c r="G25" s="46"/>
    </row>
    <row r="26" spans="1:7" ht="12">
      <c r="A26" s="45" t="s">
        <v>180</v>
      </c>
      <c r="B26" s="33"/>
      <c r="C26" s="33"/>
      <c r="D26" s="33"/>
      <c r="E26" s="33"/>
      <c r="F26" s="33"/>
      <c r="G26" s="46"/>
    </row>
    <row r="27" spans="1:7" ht="12">
      <c r="A27" s="45" t="s">
        <v>175</v>
      </c>
      <c r="B27" s="24">
        <f aca="true" t="shared" si="11" ref="B27:G27">B28+B29</f>
        <v>0</v>
      </c>
      <c r="C27" s="24">
        <f t="shared" si="11"/>
        <v>0</v>
      </c>
      <c r="D27" s="24">
        <f t="shared" si="11"/>
        <v>0</v>
      </c>
      <c r="E27" s="24">
        <f t="shared" si="11"/>
        <v>0</v>
      </c>
      <c r="F27" s="24">
        <f t="shared" si="11"/>
        <v>0</v>
      </c>
      <c r="G27" s="25">
        <f t="shared" si="11"/>
        <v>0</v>
      </c>
    </row>
    <row r="28" spans="1:7" ht="12">
      <c r="A28" s="45" t="s">
        <v>179</v>
      </c>
      <c r="B28" s="33"/>
      <c r="C28" s="33"/>
      <c r="D28" s="33"/>
      <c r="E28" s="33"/>
      <c r="F28" s="33"/>
      <c r="G28" s="46"/>
    </row>
    <row r="29" spans="1:7" ht="12">
      <c r="A29" s="45" t="s">
        <v>180</v>
      </c>
      <c r="B29" s="33"/>
      <c r="C29" s="33"/>
      <c r="D29" s="33"/>
      <c r="E29" s="33"/>
      <c r="F29" s="33"/>
      <c r="G29" s="46"/>
    </row>
    <row r="30" spans="1:12" ht="12.75">
      <c r="A30" s="47" t="s">
        <v>191</v>
      </c>
      <c r="B30" s="14">
        <f aca="true" t="shared" si="12" ref="B30:G30">B31+B34</f>
        <v>0</v>
      </c>
      <c r="C30" s="14">
        <f t="shared" si="12"/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5">
        <f t="shared" si="12"/>
        <v>0</v>
      </c>
      <c r="I30" s="100">
        <f>Eelarvearuanne!H85</f>
        <v>0</v>
      </c>
      <c r="J30" s="100">
        <f>Eelarvearuanne!D85</f>
        <v>0</v>
      </c>
      <c r="K30" s="100">
        <f>B30-I30</f>
        <v>0</v>
      </c>
      <c r="L30" s="100">
        <f>C30-J30</f>
        <v>0</v>
      </c>
    </row>
    <row r="31" spans="1:7" ht="12">
      <c r="A31" s="45" t="s">
        <v>174</v>
      </c>
      <c r="B31" s="24">
        <f aca="true" t="shared" si="13" ref="B31:G31">B32+B33</f>
        <v>0</v>
      </c>
      <c r="C31" s="24">
        <f t="shared" si="13"/>
        <v>0</v>
      </c>
      <c r="D31" s="24">
        <f t="shared" si="13"/>
        <v>0</v>
      </c>
      <c r="E31" s="24">
        <f t="shared" si="13"/>
        <v>0</v>
      </c>
      <c r="F31" s="24">
        <f t="shared" si="13"/>
        <v>0</v>
      </c>
      <c r="G31" s="25">
        <f t="shared" si="13"/>
        <v>0</v>
      </c>
    </row>
    <row r="32" spans="1:7" ht="12">
      <c r="A32" s="45" t="s">
        <v>179</v>
      </c>
      <c r="B32" s="33"/>
      <c r="C32" s="33"/>
      <c r="D32" s="33"/>
      <c r="E32" s="33"/>
      <c r="F32" s="33"/>
      <c r="G32" s="46"/>
    </row>
    <row r="33" spans="1:7" ht="12">
      <c r="A33" s="45" t="s">
        <v>180</v>
      </c>
      <c r="B33" s="33"/>
      <c r="C33" s="33"/>
      <c r="D33" s="33"/>
      <c r="E33" s="33"/>
      <c r="F33" s="33"/>
      <c r="G33" s="46"/>
    </row>
    <row r="34" spans="1:7" ht="12">
      <c r="A34" s="45" t="s">
        <v>175</v>
      </c>
      <c r="B34" s="24">
        <f aca="true" t="shared" si="14" ref="B34:G34">B35+B36</f>
        <v>0</v>
      </c>
      <c r="C34" s="24">
        <f t="shared" si="14"/>
        <v>0</v>
      </c>
      <c r="D34" s="24">
        <f t="shared" si="14"/>
        <v>0</v>
      </c>
      <c r="E34" s="24">
        <f t="shared" si="14"/>
        <v>0</v>
      </c>
      <c r="F34" s="24">
        <f t="shared" si="14"/>
        <v>0</v>
      </c>
      <c r="G34" s="25">
        <f t="shared" si="14"/>
        <v>0</v>
      </c>
    </row>
    <row r="35" spans="1:7" ht="12">
      <c r="A35" s="45" t="s">
        <v>179</v>
      </c>
      <c r="B35" s="33"/>
      <c r="C35" s="33"/>
      <c r="D35" s="33"/>
      <c r="E35" s="33"/>
      <c r="F35" s="33"/>
      <c r="G35" s="46"/>
    </row>
    <row r="36" spans="1:7" ht="12">
      <c r="A36" s="45" t="s">
        <v>180</v>
      </c>
      <c r="B36" s="33"/>
      <c r="C36" s="33"/>
      <c r="D36" s="33"/>
      <c r="E36" s="33"/>
      <c r="F36" s="33"/>
      <c r="G36" s="46"/>
    </row>
    <row r="37" spans="1:12" ht="12.75">
      <c r="A37" s="47" t="s">
        <v>192</v>
      </c>
      <c r="B37" s="14">
        <f aca="true" t="shared" si="15" ref="B37:G37">B38+B41</f>
        <v>0</v>
      </c>
      <c r="C37" s="14">
        <f t="shared" si="15"/>
        <v>0</v>
      </c>
      <c r="D37" s="14">
        <f t="shared" si="15"/>
        <v>0</v>
      </c>
      <c r="E37" s="14">
        <f t="shared" si="15"/>
        <v>0</v>
      </c>
      <c r="F37" s="14">
        <f t="shared" si="15"/>
        <v>0</v>
      </c>
      <c r="G37" s="15">
        <f t="shared" si="15"/>
        <v>0</v>
      </c>
      <c r="I37" s="100">
        <f>Eelarvearuanne!H92</f>
        <v>0</v>
      </c>
      <c r="J37" s="5">
        <f>Eelarvearuanne!D92</f>
        <v>0</v>
      </c>
      <c r="K37" s="100">
        <f>B37-I37</f>
        <v>0</v>
      </c>
      <c r="L37" s="100">
        <f>C37-J37</f>
        <v>0</v>
      </c>
    </row>
    <row r="38" spans="1:7" ht="12">
      <c r="A38" s="45" t="s">
        <v>174</v>
      </c>
      <c r="B38" s="24">
        <f aca="true" t="shared" si="16" ref="B38:G38">B39+B40</f>
        <v>0</v>
      </c>
      <c r="C38" s="24">
        <f t="shared" si="16"/>
        <v>0</v>
      </c>
      <c r="D38" s="24">
        <f t="shared" si="16"/>
        <v>0</v>
      </c>
      <c r="E38" s="24">
        <f t="shared" si="16"/>
        <v>0</v>
      </c>
      <c r="F38" s="24">
        <f t="shared" si="16"/>
        <v>0</v>
      </c>
      <c r="G38" s="25">
        <f t="shared" si="16"/>
        <v>0</v>
      </c>
    </row>
    <row r="39" spans="1:7" ht="12">
      <c r="A39" s="45" t="s">
        <v>179</v>
      </c>
      <c r="B39" s="33"/>
      <c r="C39" s="33"/>
      <c r="D39" s="33"/>
      <c r="E39" s="33"/>
      <c r="F39" s="33"/>
      <c r="G39" s="46"/>
    </row>
    <row r="40" spans="1:7" ht="12">
      <c r="A40" s="45" t="s">
        <v>180</v>
      </c>
      <c r="B40" s="33"/>
      <c r="C40" s="33"/>
      <c r="D40" s="33"/>
      <c r="E40" s="33"/>
      <c r="F40" s="33"/>
      <c r="G40" s="46"/>
    </row>
    <row r="41" spans="1:7" ht="12">
      <c r="A41" s="45" t="s">
        <v>175</v>
      </c>
      <c r="B41" s="24">
        <f aca="true" t="shared" si="17" ref="B41:G41">B42+B43</f>
        <v>0</v>
      </c>
      <c r="C41" s="24">
        <f t="shared" si="17"/>
        <v>0</v>
      </c>
      <c r="D41" s="24">
        <f t="shared" si="17"/>
        <v>0</v>
      </c>
      <c r="E41" s="24">
        <f t="shared" si="17"/>
        <v>0</v>
      </c>
      <c r="F41" s="24">
        <f t="shared" si="17"/>
        <v>0</v>
      </c>
      <c r="G41" s="25">
        <f t="shared" si="17"/>
        <v>0</v>
      </c>
    </row>
    <row r="42" spans="1:7" ht="12">
      <c r="A42" s="45" t="s">
        <v>179</v>
      </c>
      <c r="B42" s="33"/>
      <c r="C42" s="33"/>
      <c r="D42" s="33"/>
      <c r="E42" s="33"/>
      <c r="F42" s="33"/>
      <c r="G42" s="46"/>
    </row>
    <row r="43" spans="1:7" ht="12">
      <c r="A43" s="45" t="s">
        <v>180</v>
      </c>
      <c r="B43" s="33"/>
      <c r="C43" s="33"/>
      <c r="D43" s="33"/>
      <c r="E43" s="33"/>
      <c r="F43" s="33"/>
      <c r="G43" s="46"/>
    </row>
    <row r="44" spans="1:12" ht="12.75">
      <c r="A44" s="47" t="s">
        <v>193</v>
      </c>
      <c r="B44" s="14">
        <f aca="true" t="shared" si="18" ref="B44:G44">B45+B48</f>
        <v>0</v>
      </c>
      <c r="C44" s="14">
        <f t="shared" si="18"/>
        <v>0</v>
      </c>
      <c r="D44" s="14">
        <f t="shared" si="18"/>
        <v>0</v>
      </c>
      <c r="E44" s="14">
        <f t="shared" si="18"/>
        <v>0</v>
      </c>
      <c r="F44" s="14">
        <f t="shared" si="18"/>
        <v>0</v>
      </c>
      <c r="G44" s="15">
        <f t="shared" si="18"/>
        <v>0</v>
      </c>
      <c r="I44" s="100">
        <f>Eelarvearuanne!H99</f>
        <v>0</v>
      </c>
      <c r="J44" s="100">
        <f>Eelarvearuanne!D99</f>
        <v>0</v>
      </c>
      <c r="K44" s="100">
        <f>B44-I44</f>
        <v>0</v>
      </c>
      <c r="L44" s="100">
        <f>C44-J44</f>
        <v>0</v>
      </c>
    </row>
    <row r="45" spans="1:7" ht="12">
      <c r="A45" s="45" t="s">
        <v>174</v>
      </c>
      <c r="B45" s="24">
        <f aca="true" t="shared" si="19" ref="B45:G45">B46+B47</f>
        <v>0</v>
      </c>
      <c r="C45" s="24">
        <f t="shared" si="19"/>
        <v>0</v>
      </c>
      <c r="D45" s="24">
        <f t="shared" si="19"/>
        <v>0</v>
      </c>
      <c r="E45" s="24">
        <f t="shared" si="19"/>
        <v>0</v>
      </c>
      <c r="F45" s="24">
        <f t="shared" si="19"/>
        <v>0</v>
      </c>
      <c r="G45" s="25">
        <f t="shared" si="19"/>
        <v>0</v>
      </c>
    </row>
    <row r="46" spans="1:7" ht="12">
      <c r="A46" s="45" t="s">
        <v>179</v>
      </c>
      <c r="B46" s="33"/>
      <c r="C46" s="33"/>
      <c r="D46" s="33"/>
      <c r="E46" s="33"/>
      <c r="F46" s="33"/>
      <c r="G46" s="46"/>
    </row>
    <row r="47" spans="1:7" ht="12">
      <c r="A47" s="45" t="s">
        <v>180</v>
      </c>
      <c r="B47" s="33"/>
      <c r="C47" s="33"/>
      <c r="D47" s="33"/>
      <c r="E47" s="33"/>
      <c r="F47" s="33"/>
      <c r="G47" s="46"/>
    </row>
    <row r="48" spans="1:7" ht="12">
      <c r="A48" s="45" t="s">
        <v>175</v>
      </c>
      <c r="B48" s="24">
        <f aca="true" t="shared" si="20" ref="B48:G48">B49+B50</f>
        <v>0</v>
      </c>
      <c r="C48" s="24">
        <f t="shared" si="20"/>
        <v>0</v>
      </c>
      <c r="D48" s="24">
        <f t="shared" si="20"/>
        <v>0</v>
      </c>
      <c r="E48" s="24">
        <f t="shared" si="20"/>
        <v>0</v>
      </c>
      <c r="F48" s="24">
        <f t="shared" si="20"/>
        <v>0</v>
      </c>
      <c r="G48" s="25">
        <f t="shared" si="20"/>
        <v>0</v>
      </c>
    </row>
    <row r="49" spans="1:7" ht="12">
      <c r="A49" s="45" t="s">
        <v>179</v>
      </c>
      <c r="B49" s="33"/>
      <c r="C49" s="33"/>
      <c r="D49" s="33"/>
      <c r="E49" s="33"/>
      <c r="F49" s="33"/>
      <c r="G49" s="46"/>
    </row>
    <row r="50" spans="1:7" ht="12">
      <c r="A50" s="45" t="s">
        <v>180</v>
      </c>
      <c r="B50" s="33"/>
      <c r="C50" s="33"/>
      <c r="D50" s="33"/>
      <c r="E50" s="33"/>
      <c r="F50" s="33"/>
      <c r="G50" s="46"/>
    </row>
    <row r="51" spans="1:12" ht="12.75">
      <c r="A51" s="47" t="s">
        <v>194</v>
      </c>
      <c r="B51" s="14">
        <f aca="true" t="shared" si="21" ref="B51:G51">B52+B55</f>
        <v>0</v>
      </c>
      <c r="C51" s="14">
        <f t="shared" si="21"/>
        <v>0</v>
      </c>
      <c r="D51" s="14">
        <f t="shared" si="21"/>
        <v>0</v>
      </c>
      <c r="E51" s="14">
        <f t="shared" si="21"/>
        <v>0</v>
      </c>
      <c r="F51" s="14">
        <f t="shared" si="21"/>
        <v>0</v>
      </c>
      <c r="G51" s="15">
        <f t="shared" si="21"/>
        <v>0</v>
      </c>
      <c r="I51" s="100">
        <f>Eelarvearuanne!H106</f>
        <v>0</v>
      </c>
      <c r="J51" s="100">
        <f>Eelarvearuanne!D106</f>
        <v>0</v>
      </c>
      <c r="K51" s="100">
        <f>B51-I51</f>
        <v>0</v>
      </c>
      <c r="L51" s="100">
        <f>C51-J51</f>
        <v>0</v>
      </c>
    </row>
    <row r="52" spans="1:7" ht="12">
      <c r="A52" s="45" t="s">
        <v>174</v>
      </c>
      <c r="B52" s="24">
        <f aca="true" t="shared" si="22" ref="B52:G52">B53+B54</f>
        <v>0</v>
      </c>
      <c r="C52" s="24">
        <f t="shared" si="22"/>
        <v>0</v>
      </c>
      <c r="D52" s="24">
        <f t="shared" si="22"/>
        <v>0</v>
      </c>
      <c r="E52" s="24">
        <f t="shared" si="22"/>
        <v>0</v>
      </c>
      <c r="F52" s="24">
        <f t="shared" si="22"/>
        <v>0</v>
      </c>
      <c r="G52" s="25">
        <f t="shared" si="22"/>
        <v>0</v>
      </c>
    </row>
    <row r="53" spans="1:7" ht="12">
      <c r="A53" s="45" t="s">
        <v>179</v>
      </c>
      <c r="B53" s="33"/>
      <c r="C53" s="33"/>
      <c r="D53" s="33"/>
      <c r="E53" s="33"/>
      <c r="F53" s="33"/>
      <c r="G53" s="46"/>
    </row>
    <row r="54" spans="1:7" ht="12">
      <c r="A54" s="45" t="s">
        <v>180</v>
      </c>
      <c r="B54" s="33"/>
      <c r="C54" s="33"/>
      <c r="D54" s="33"/>
      <c r="E54" s="33"/>
      <c r="F54" s="33"/>
      <c r="G54" s="46"/>
    </row>
    <row r="55" spans="1:7" ht="12">
      <c r="A55" s="45" t="s">
        <v>175</v>
      </c>
      <c r="B55" s="24">
        <f aca="true" t="shared" si="23" ref="B55:G55">B56+B57</f>
        <v>0</v>
      </c>
      <c r="C55" s="24">
        <f t="shared" si="23"/>
        <v>0</v>
      </c>
      <c r="D55" s="24">
        <f t="shared" si="23"/>
        <v>0</v>
      </c>
      <c r="E55" s="24">
        <f t="shared" si="23"/>
        <v>0</v>
      </c>
      <c r="F55" s="24">
        <f t="shared" si="23"/>
        <v>0</v>
      </c>
      <c r="G55" s="25">
        <f t="shared" si="23"/>
        <v>0</v>
      </c>
    </row>
    <row r="56" spans="1:7" ht="12">
      <c r="A56" s="45" t="s">
        <v>179</v>
      </c>
      <c r="B56" s="33"/>
      <c r="C56" s="33"/>
      <c r="D56" s="33"/>
      <c r="E56" s="33"/>
      <c r="F56" s="33"/>
      <c r="G56" s="46"/>
    </row>
    <row r="57" spans="1:7" ht="12">
      <c r="A57" s="45" t="s">
        <v>180</v>
      </c>
      <c r="B57" s="33"/>
      <c r="C57" s="33"/>
      <c r="D57" s="33"/>
      <c r="E57" s="33"/>
      <c r="F57" s="33"/>
      <c r="G57" s="46"/>
    </row>
    <row r="58" spans="1:12" ht="12.75">
      <c r="A58" s="47" t="s">
        <v>195</v>
      </c>
      <c r="B58" s="14">
        <f aca="true" t="shared" si="24" ref="B58:G58">B59+B62</f>
        <v>0</v>
      </c>
      <c r="C58" s="14">
        <f t="shared" si="24"/>
        <v>0</v>
      </c>
      <c r="D58" s="14">
        <f t="shared" si="24"/>
        <v>0</v>
      </c>
      <c r="E58" s="14">
        <f t="shared" si="24"/>
        <v>0</v>
      </c>
      <c r="F58" s="14">
        <f t="shared" si="24"/>
        <v>0</v>
      </c>
      <c r="G58" s="15">
        <f t="shared" si="24"/>
        <v>0</v>
      </c>
      <c r="I58" s="100">
        <f>Eelarvearuanne!H124</f>
        <v>0</v>
      </c>
      <c r="J58" s="100">
        <f>Eelarvearuanne!D124</f>
        <v>0</v>
      </c>
      <c r="K58" s="100">
        <f>B58-I58</f>
        <v>0</v>
      </c>
      <c r="L58" s="100">
        <f>C58-J58</f>
        <v>0</v>
      </c>
    </row>
    <row r="59" spans="1:7" ht="12">
      <c r="A59" s="45" t="s">
        <v>174</v>
      </c>
      <c r="B59" s="24">
        <f aca="true" t="shared" si="25" ref="B59:G59">B60+B61</f>
        <v>0</v>
      </c>
      <c r="C59" s="24">
        <f t="shared" si="25"/>
        <v>0</v>
      </c>
      <c r="D59" s="24">
        <f t="shared" si="25"/>
        <v>0</v>
      </c>
      <c r="E59" s="24">
        <f t="shared" si="25"/>
        <v>0</v>
      </c>
      <c r="F59" s="24">
        <f t="shared" si="25"/>
        <v>0</v>
      </c>
      <c r="G59" s="25">
        <f t="shared" si="25"/>
        <v>0</v>
      </c>
    </row>
    <row r="60" spans="1:10" ht="12">
      <c r="A60" s="45" t="s">
        <v>179</v>
      </c>
      <c r="B60" s="33"/>
      <c r="C60" s="33"/>
      <c r="D60" s="33"/>
      <c r="E60" s="33"/>
      <c r="F60" s="33"/>
      <c r="G60" s="46"/>
      <c r="H60" s="4" t="s">
        <v>351</v>
      </c>
      <c r="I60" s="236"/>
      <c r="J60" s="236"/>
    </row>
    <row r="61" spans="1:7" ht="12">
      <c r="A61" s="45" t="s">
        <v>180</v>
      </c>
      <c r="B61" s="33"/>
      <c r="C61" s="33"/>
      <c r="D61" s="33"/>
      <c r="E61" s="33"/>
      <c r="F61" s="33"/>
      <c r="G61" s="46"/>
    </row>
    <row r="62" spans="1:7" ht="12">
      <c r="A62" s="45" t="s">
        <v>175</v>
      </c>
      <c r="B62" s="24">
        <f aca="true" t="shared" si="26" ref="B62:G62">B63+B64</f>
        <v>0</v>
      </c>
      <c r="C62" s="24">
        <f t="shared" si="26"/>
        <v>0</v>
      </c>
      <c r="D62" s="24">
        <f t="shared" si="26"/>
        <v>0</v>
      </c>
      <c r="E62" s="24">
        <f t="shared" si="26"/>
        <v>0</v>
      </c>
      <c r="F62" s="24">
        <f t="shared" si="26"/>
        <v>0</v>
      </c>
      <c r="G62" s="25">
        <f t="shared" si="26"/>
        <v>0</v>
      </c>
    </row>
    <row r="63" spans="1:10" ht="12">
      <c r="A63" s="45" t="s">
        <v>179</v>
      </c>
      <c r="B63" s="33"/>
      <c r="C63" s="33"/>
      <c r="D63" s="33"/>
      <c r="E63" s="33"/>
      <c r="F63" s="33"/>
      <c r="G63" s="46"/>
      <c r="H63" s="4" t="s">
        <v>355</v>
      </c>
      <c r="I63" s="236"/>
      <c r="J63" s="236"/>
    </row>
    <row r="64" spans="1:7" ht="12">
      <c r="A64" s="45" t="s">
        <v>180</v>
      </c>
      <c r="B64" s="33"/>
      <c r="C64" s="33"/>
      <c r="D64" s="33"/>
      <c r="E64" s="33"/>
      <c r="F64" s="33"/>
      <c r="G64" s="46"/>
    </row>
    <row r="65" spans="1:12" ht="12.75">
      <c r="A65" s="47" t="s">
        <v>196</v>
      </c>
      <c r="B65" s="14">
        <f aca="true" t="shared" si="27" ref="B65:G65">B66+B69</f>
        <v>0</v>
      </c>
      <c r="C65" s="14">
        <f t="shared" si="27"/>
        <v>0</v>
      </c>
      <c r="D65" s="14">
        <f t="shared" si="27"/>
        <v>0</v>
      </c>
      <c r="E65" s="14">
        <f t="shared" si="27"/>
        <v>0</v>
      </c>
      <c r="F65" s="14">
        <f t="shared" si="27"/>
        <v>0</v>
      </c>
      <c r="G65" s="15">
        <f t="shared" si="27"/>
        <v>0</v>
      </c>
      <c r="I65" s="100">
        <f>Eelarvearuanne!H137</f>
        <v>0</v>
      </c>
      <c r="J65" s="100">
        <f>Eelarvearuanne!D137</f>
        <v>0</v>
      </c>
      <c r="K65" s="100">
        <f>B65-I65</f>
        <v>0</v>
      </c>
      <c r="L65" s="100">
        <f>C65-J65</f>
        <v>0</v>
      </c>
    </row>
    <row r="66" spans="1:7" ht="12">
      <c r="A66" s="45" t="s">
        <v>174</v>
      </c>
      <c r="B66" s="24">
        <f aca="true" t="shared" si="28" ref="B66:G66">B67+B68</f>
        <v>0</v>
      </c>
      <c r="C66" s="24">
        <f t="shared" si="28"/>
        <v>0</v>
      </c>
      <c r="D66" s="24">
        <f t="shared" si="28"/>
        <v>0</v>
      </c>
      <c r="E66" s="24">
        <f t="shared" si="28"/>
        <v>0</v>
      </c>
      <c r="F66" s="24">
        <f t="shared" si="28"/>
        <v>0</v>
      </c>
      <c r="G66" s="25">
        <f t="shared" si="28"/>
        <v>0</v>
      </c>
    </row>
    <row r="67" spans="1:10" ht="12">
      <c r="A67" s="45" t="s">
        <v>179</v>
      </c>
      <c r="B67" s="33"/>
      <c r="C67" s="33"/>
      <c r="D67" s="33"/>
      <c r="E67" s="33"/>
      <c r="F67" s="33"/>
      <c r="G67" s="46"/>
      <c r="H67" s="4" t="s">
        <v>350</v>
      </c>
      <c r="I67" s="236"/>
      <c r="J67" s="236"/>
    </row>
    <row r="68" spans="1:7" ht="12">
      <c r="A68" s="45" t="s">
        <v>180</v>
      </c>
      <c r="B68" s="33"/>
      <c r="C68" s="33"/>
      <c r="D68" s="33"/>
      <c r="E68" s="33"/>
      <c r="F68" s="33"/>
      <c r="G68" s="46"/>
    </row>
    <row r="69" spans="1:7" ht="12">
      <c r="A69" s="45" t="s">
        <v>175</v>
      </c>
      <c r="B69" s="24">
        <f aca="true" t="shared" si="29" ref="B69:G69">B70+B71</f>
        <v>0</v>
      </c>
      <c r="C69" s="24">
        <f t="shared" si="29"/>
        <v>0</v>
      </c>
      <c r="D69" s="24">
        <f t="shared" si="29"/>
        <v>0</v>
      </c>
      <c r="E69" s="24">
        <f t="shared" si="29"/>
        <v>0</v>
      </c>
      <c r="F69" s="24">
        <f t="shared" si="29"/>
        <v>0</v>
      </c>
      <c r="G69" s="25">
        <f t="shared" si="29"/>
        <v>0</v>
      </c>
    </row>
    <row r="70" spans="1:7" ht="12">
      <c r="A70" s="45" t="s">
        <v>179</v>
      </c>
      <c r="B70" s="33"/>
      <c r="C70" s="33"/>
      <c r="D70" s="33"/>
      <c r="E70" s="33"/>
      <c r="F70" s="33"/>
      <c r="G70" s="46"/>
    </row>
    <row r="71" spans="1:7" ht="12">
      <c r="A71" s="45" t="s">
        <v>180</v>
      </c>
      <c r="B71" s="33"/>
      <c r="C71" s="33"/>
      <c r="D71" s="33"/>
      <c r="E71" s="33"/>
      <c r="F71" s="33"/>
      <c r="G71" s="46"/>
    </row>
    <row r="72" spans="1:16" ht="12.75">
      <c r="A72" s="47" t="s">
        <v>173</v>
      </c>
      <c r="B72" s="14">
        <f aca="true" t="shared" si="30" ref="B72:G73">B65+B58+B51+B44+B37+B30+B23+B16+B9+B2</f>
        <v>0</v>
      </c>
      <c r="C72" s="14">
        <f t="shared" si="30"/>
        <v>0</v>
      </c>
      <c r="D72" s="14">
        <f t="shared" si="30"/>
        <v>0</v>
      </c>
      <c r="E72" s="14">
        <f t="shared" si="30"/>
        <v>0</v>
      </c>
      <c r="F72" s="14">
        <f t="shared" si="30"/>
        <v>0</v>
      </c>
      <c r="G72" s="15">
        <f t="shared" si="30"/>
        <v>0</v>
      </c>
      <c r="I72" s="100">
        <f>Eelarvearuanne!H55</f>
        <v>0</v>
      </c>
      <c r="J72" s="5">
        <f>Eelarvearuanne!D55</f>
        <v>0</v>
      </c>
      <c r="K72" s="100">
        <f>B72-I72</f>
        <v>0</v>
      </c>
      <c r="L72" s="100">
        <f>C72-J72</f>
        <v>0</v>
      </c>
      <c r="M72" s="5">
        <f>'Strateegia vorm KOV'!D13-'Strateegia vorm KOV'!D23-'Strateegia vorm KOV'!D32-'Strateegia vorm KOV'!D30-'Strateegia vorm KOV'!D28-'Strateegia vorm KOV'!D26</f>
        <v>26251837</v>
      </c>
      <c r="N72" s="5">
        <f>'Strateegia vorm KOV'!E13-'Strateegia vorm KOV'!E23-'Strateegia vorm KOV'!E32-'Strateegia vorm KOV'!E30-'Strateegia vorm KOV'!E28-'Strateegia vorm KOV'!E26</f>
        <v>26985694</v>
      </c>
      <c r="O72" s="5">
        <f>'Strateegia vorm KOV'!F13-'Strateegia vorm KOV'!F23-'Strateegia vorm KOV'!F32-'Strateegia vorm KOV'!F30-'Strateegia vorm KOV'!F28-'Strateegia vorm KOV'!F26</f>
        <v>23533637.1</v>
      </c>
      <c r="P72" s="5">
        <f>'Strateegia vorm KOV'!G13-'Strateegia vorm KOV'!G23-'Strateegia vorm KOV'!G32-'Strateegia vorm KOV'!G30-'Strateegia vorm KOV'!G28-'Strateegia vorm KOV'!G26</f>
        <v>28561169.179</v>
      </c>
    </row>
    <row r="73" spans="1:16" ht="12">
      <c r="A73" s="45" t="s">
        <v>174</v>
      </c>
      <c r="B73" s="24">
        <f>B66+B59+B52+B45+B38+B31+B24+B17+B10+B3</f>
        <v>0</v>
      </c>
      <c r="C73" s="24">
        <f t="shared" si="30"/>
        <v>0</v>
      </c>
      <c r="D73" s="24">
        <f t="shared" si="30"/>
        <v>0</v>
      </c>
      <c r="E73" s="24">
        <f t="shared" si="30"/>
        <v>0</v>
      </c>
      <c r="F73" s="24">
        <f t="shared" si="30"/>
        <v>0</v>
      </c>
      <c r="G73" s="25">
        <f t="shared" si="30"/>
        <v>0</v>
      </c>
      <c r="M73" s="100">
        <f>M72-D72</f>
        <v>26251837</v>
      </c>
      <c r="N73" s="100">
        <f>N72-E72</f>
        <v>26985694</v>
      </c>
      <c r="O73" s="100">
        <f>O72-F72</f>
        <v>23533637.1</v>
      </c>
      <c r="P73" s="100">
        <f>P72-G72</f>
        <v>28561169.179</v>
      </c>
    </row>
    <row r="74" spans="1:7" ht="12">
      <c r="A74" s="45" t="s">
        <v>179</v>
      </c>
      <c r="B74" s="24">
        <f aca="true" t="shared" si="31" ref="B74:G78">B67+B60+B53+B46+B39+B32+B25+B18+B11+B4</f>
        <v>0</v>
      </c>
      <c r="C74" s="24">
        <f t="shared" si="31"/>
        <v>0</v>
      </c>
      <c r="D74" s="24">
        <f t="shared" si="31"/>
        <v>0</v>
      </c>
      <c r="E74" s="24">
        <f t="shared" si="31"/>
        <v>0</v>
      </c>
      <c r="F74" s="24">
        <f t="shared" si="31"/>
        <v>0</v>
      </c>
      <c r="G74" s="25">
        <f t="shared" si="31"/>
        <v>0</v>
      </c>
    </row>
    <row r="75" spans="1:7" ht="12">
      <c r="A75" s="45" t="s">
        <v>180</v>
      </c>
      <c r="B75" s="24">
        <f t="shared" si="31"/>
        <v>0</v>
      </c>
      <c r="C75" s="24">
        <f t="shared" si="31"/>
        <v>0</v>
      </c>
      <c r="D75" s="24">
        <f t="shared" si="31"/>
        <v>0</v>
      </c>
      <c r="E75" s="24">
        <f t="shared" si="31"/>
        <v>0</v>
      </c>
      <c r="F75" s="24">
        <f t="shared" si="31"/>
        <v>0</v>
      </c>
      <c r="G75" s="25">
        <f t="shared" si="31"/>
        <v>0</v>
      </c>
    </row>
    <row r="76" spans="1:7" ht="12">
      <c r="A76" s="45" t="s">
        <v>175</v>
      </c>
      <c r="B76" s="24">
        <f t="shared" si="31"/>
        <v>0</v>
      </c>
      <c r="C76" s="24">
        <f t="shared" si="31"/>
        <v>0</v>
      </c>
      <c r="D76" s="24">
        <f t="shared" si="31"/>
        <v>0</v>
      </c>
      <c r="E76" s="24">
        <f t="shared" si="31"/>
        <v>0</v>
      </c>
      <c r="F76" s="24">
        <f t="shared" si="31"/>
        <v>0</v>
      </c>
      <c r="G76" s="25">
        <f t="shared" si="31"/>
        <v>0</v>
      </c>
    </row>
    <row r="77" spans="1:7" ht="12">
      <c r="A77" s="45" t="s">
        <v>179</v>
      </c>
      <c r="B77" s="24">
        <f t="shared" si="31"/>
        <v>0</v>
      </c>
      <c r="C77" s="24">
        <f t="shared" si="31"/>
        <v>0</v>
      </c>
      <c r="D77" s="24">
        <f t="shared" si="31"/>
        <v>0</v>
      </c>
      <c r="E77" s="24">
        <f t="shared" si="31"/>
        <v>0</v>
      </c>
      <c r="F77" s="24">
        <f t="shared" si="31"/>
        <v>0</v>
      </c>
      <c r="G77" s="25">
        <f t="shared" si="31"/>
        <v>0</v>
      </c>
    </row>
    <row r="78" spans="1:7" ht="12.75" thickBot="1">
      <c r="A78" s="48" t="s">
        <v>180</v>
      </c>
      <c r="B78" s="27">
        <f t="shared" si="31"/>
        <v>0</v>
      </c>
      <c r="C78" s="27">
        <f t="shared" si="31"/>
        <v>0</v>
      </c>
      <c r="D78" s="27">
        <f t="shared" si="31"/>
        <v>0</v>
      </c>
      <c r="E78" s="27">
        <f t="shared" si="31"/>
        <v>0</v>
      </c>
      <c r="F78" s="27">
        <f t="shared" si="31"/>
        <v>0</v>
      </c>
      <c r="G78" s="28">
        <f t="shared" si="31"/>
        <v>0</v>
      </c>
    </row>
    <row r="79" spans="1:10" ht="12">
      <c r="A79" s="50" t="s">
        <v>184</v>
      </c>
      <c r="B79" s="49">
        <f>B73-'Strateegia vorm KOV'!B13</f>
        <v>-16295364.259999998</v>
      </c>
      <c r="C79" s="49">
        <f>C73-'Strateegia vorm KOV'!C13</f>
        <v>-17265000</v>
      </c>
      <c r="D79" s="49">
        <f>D73-'Strateegia vorm KOV'!D13</f>
        <v>-18093000</v>
      </c>
      <c r="E79" s="49">
        <f>E73-'Strateegia vorm KOV'!E13</f>
        <v>-18826690</v>
      </c>
      <c r="F79" s="49">
        <f>F73-'Strateegia vorm KOV'!F13</f>
        <v>-19662505.1</v>
      </c>
      <c r="G79" s="49">
        <f>G73-'Strateegia vorm KOV'!G13</f>
        <v>-20536810.179</v>
      </c>
      <c r="H79" s="230" t="s">
        <v>301</v>
      </c>
      <c r="I79"/>
      <c r="J79"/>
    </row>
    <row r="80" spans="1:10" ht="12">
      <c r="A80" s="50" t="s">
        <v>185</v>
      </c>
      <c r="B80" s="49">
        <f>B76+'Strateegia vorm KOV'!B23+'Strateegia vorm KOV'!B26+'Strateegia vorm KOV'!B28+'Strateegia vorm KOV'!B30+'Strateegia vorm KOV'!B32</f>
        <v>-13166186.85</v>
      </c>
      <c r="C80" s="49">
        <f>C76+('Strateegia vorm KOV'!C23+'Strateegia vorm KOV'!C26+'Strateegia vorm KOV'!C28+'Strateegia vorm KOV'!C30+'Strateegia vorm KOV'!C32)</f>
        <v>-6429965</v>
      </c>
      <c r="D80" s="49">
        <f>D76+('Strateegia vorm KOV'!D23+'Strateegia vorm KOV'!D26+'Strateegia vorm KOV'!D28+'Strateegia vorm KOV'!D30+'Strateegia vorm KOV'!D32)</f>
        <v>-8158837</v>
      </c>
      <c r="E80" s="49">
        <f>E76+('Strateegia vorm KOV'!E23+'Strateegia vorm KOV'!E26+'Strateegia vorm KOV'!E28+'Strateegia vorm KOV'!E30+'Strateegia vorm KOV'!E32)</f>
        <v>-8159004</v>
      </c>
      <c r="F80" s="49">
        <f>F76+('Strateegia vorm KOV'!F23+'Strateegia vorm KOV'!F26+'Strateegia vorm KOV'!F28+'Strateegia vorm KOV'!F30+'Strateegia vorm KOV'!F32)</f>
        <v>-3871132</v>
      </c>
      <c r="G80" s="49">
        <f>G76+('Strateegia vorm KOV'!G23+'Strateegia vorm KOV'!G26+'Strateegia vorm KOV'!G28+'Strateegia vorm KOV'!G30+'Strateegia vorm KOV'!G32)</f>
        <v>-8024359</v>
      </c>
      <c r="H80" s="230" t="s">
        <v>301</v>
      </c>
      <c r="I80"/>
      <c r="J80"/>
    </row>
    <row r="81" ht="12">
      <c r="A81" s="4" t="s">
        <v>186</v>
      </c>
    </row>
    <row r="83" ht="13.5" thickBot="1">
      <c r="A83" s="1" t="s">
        <v>183</v>
      </c>
    </row>
    <row r="84" spans="1:7" ht="40.5" customHeight="1" thickBot="1">
      <c r="A84" s="2" t="s">
        <v>182</v>
      </c>
      <c r="B84" s="231" t="s">
        <v>415</v>
      </c>
      <c r="C84" s="231" t="s">
        <v>416</v>
      </c>
      <c r="D84" s="231" t="s">
        <v>375</v>
      </c>
      <c r="E84" s="231" t="s">
        <v>402</v>
      </c>
      <c r="F84" s="231" t="s">
        <v>413</v>
      </c>
      <c r="G84" s="231" t="s">
        <v>417</v>
      </c>
    </row>
    <row r="85" spans="1:10" s="4" customFormat="1" ht="12.75">
      <c r="A85" s="47" t="s">
        <v>136</v>
      </c>
      <c r="B85" s="14">
        <f aca="true" t="shared" si="32" ref="B85:G85">B86+B87</f>
        <v>0</v>
      </c>
      <c r="C85" s="14">
        <f t="shared" si="32"/>
        <v>0</v>
      </c>
      <c r="D85" s="14">
        <f t="shared" si="32"/>
        <v>0</v>
      </c>
      <c r="E85" s="14">
        <f t="shared" si="32"/>
        <v>0</v>
      </c>
      <c r="F85" s="14">
        <f t="shared" si="32"/>
        <v>0</v>
      </c>
      <c r="G85" s="15">
        <f t="shared" si="32"/>
        <v>0</v>
      </c>
      <c r="I85" s="236"/>
      <c r="J85" s="236"/>
    </row>
    <row r="86" spans="1:10" s="4" customFormat="1" ht="12">
      <c r="A86" s="45" t="s">
        <v>174</v>
      </c>
      <c r="B86" s="24">
        <f aca="true" t="shared" si="33" ref="B86:G86">B5</f>
        <v>0</v>
      </c>
      <c r="C86" s="24">
        <f t="shared" si="33"/>
        <v>0</v>
      </c>
      <c r="D86" s="24">
        <f t="shared" si="33"/>
        <v>0</v>
      </c>
      <c r="E86" s="24">
        <f t="shared" si="33"/>
        <v>0</v>
      </c>
      <c r="F86" s="24">
        <f t="shared" si="33"/>
        <v>0</v>
      </c>
      <c r="G86" s="24">
        <f t="shared" si="33"/>
        <v>0</v>
      </c>
      <c r="I86" s="236"/>
      <c r="J86" s="236"/>
    </row>
    <row r="87" spans="1:7" ht="12">
      <c r="A87" s="45" t="s">
        <v>175</v>
      </c>
      <c r="B87" s="24">
        <f aca="true" t="shared" si="34" ref="B87:G87">B8</f>
        <v>0</v>
      </c>
      <c r="C87" s="24">
        <f t="shared" si="34"/>
        <v>0</v>
      </c>
      <c r="D87" s="24">
        <f t="shared" si="34"/>
        <v>0</v>
      </c>
      <c r="E87" s="24">
        <f t="shared" si="34"/>
        <v>0</v>
      </c>
      <c r="F87" s="24">
        <f t="shared" si="34"/>
        <v>0</v>
      </c>
      <c r="G87" s="24">
        <f t="shared" si="34"/>
        <v>0</v>
      </c>
    </row>
    <row r="88" spans="1:7" ht="12.75">
      <c r="A88" s="47" t="s">
        <v>129</v>
      </c>
      <c r="B88" s="14">
        <f aca="true" t="shared" si="35" ref="B88:G88">B89+B90</f>
        <v>0</v>
      </c>
      <c r="C88" s="14">
        <f t="shared" si="35"/>
        <v>0</v>
      </c>
      <c r="D88" s="14">
        <f t="shared" si="35"/>
        <v>0</v>
      </c>
      <c r="E88" s="14">
        <f t="shared" si="35"/>
        <v>0</v>
      </c>
      <c r="F88" s="14">
        <f t="shared" si="35"/>
        <v>0</v>
      </c>
      <c r="G88" s="15">
        <f t="shared" si="35"/>
        <v>0</v>
      </c>
    </row>
    <row r="89" spans="1:7" ht="12">
      <c r="A89" s="45" t="s">
        <v>174</v>
      </c>
      <c r="B89" s="24">
        <f aca="true" t="shared" si="36" ref="B89:G89">B12</f>
        <v>0</v>
      </c>
      <c r="C89" s="24">
        <f t="shared" si="36"/>
        <v>0</v>
      </c>
      <c r="D89" s="24">
        <f t="shared" si="36"/>
        <v>0</v>
      </c>
      <c r="E89" s="24">
        <f t="shared" si="36"/>
        <v>0</v>
      </c>
      <c r="F89" s="24">
        <f t="shared" si="36"/>
        <v>0</v>
      </c>
      <c r="G89" s="24">
        <f t="shared" si="36"/>
        <v>0</v>
      </c>
    </row>
    <row r="90" spans="1:7" ht="12">
      <c r="A90" s="45" t="s">
        <v>175</v>
      </c>
      <c r="B90" s="24">
        <f aca="true" t="shared" si="37" ref="B90:G90">B15</f>
        <v>0</v>
      </c>
      <c r="C90" s="24">
        <f t="shared" si="37"/>
        <v>0</v>
      </c>
      <c r="D90" s="24">
        <f t="shared" si="37"/>
        <v>0</v>
      </c>
      <c r="E90" s="24">
        <f t="shared" si="37"/>
        <v>0</v>
      </c>
      <c r="F90" s="24">
        <f t="shared" si="37"/>
        <v>0</v>
      </c>
      <c r="G90" s="24">
        <f t="shared" si="37"/>
        <v>0</v>
      </c>
    </row>
    <row r="91" spans="1:7" ht="12.75">
      <c r="A91" s="47" t="s">
        <v>128</v>
      </c>
      <c r="B91" s="14">
        <f aca="true" t="shared" si="38" ref="B91:G91">B92+B93</f>
        <v>0</v>
      </c>
      <c r="C91" s="14">
        <f t="shared" si="38"/>
        <v>0</v>
      </c>
      <c r="D91" s="14">
        <f t="shared" si="38"/>
        <v>0</v>
      </c>
      <c r="E91" s="14">
        <f t="shared" si="38"/>
        <v>0</v>
      </c>
      <c r="F91" s="14">
        <f t="shared" si="38"/>
        <v>0</v>
      </c>
      <c r="G91" s="15">
        <f t="shared" si="38"/>
        <v>0</v>
      </c>
    </row>
    <row r="92" spans="1:7" ht="12">
      <c r="A92" s="45" t="s">
        <v>174</v>
      </c>
      <c r="B92" s="24">
        <f aca="true" t="shared" si="39" ref="B92:G92">B19</f>
        <v>0</v>
      </c>
      <c r="C92" s="24">
        <f t="shared" si="39"/>
        <v>0</v>
      </c>
      <c r="D92" s="24">
        <f t="shared" si="39"/>
        <v>0</v>
      </c>
      <c r="E92" s="24">
        <f t="shared" si="39"/>
        <v>0</v>
      </c>
      <c r="F92" s="24">
        <f t="shared" si="39"/>
        <v>0</v>
      </c>
      <c r="G92" s="24">
        <f t="shared" si="39"/>
        <v>0</v>
      </c>
    </row>
    <row r="93" spans="1:7" ht="12">
      <c r="A93" s="45" t="s">
        <v>175</v>
      </c>
      <c r="B93" s="24">
        <f aca="true" t="shared" si="40" ref="B93:G93">B22</f>
        <v>0</v>
      </c>
      <c r="C93" s="24">
        <f t="shared" si="40"/>
        <v>0</v>
      </c>
      <c r="D93" s="24">
        <f t="shared" si="40"/>
        <v>0</v>
      </c>
      <c r="E93" s="24">
        <f t="shared" si="40"/>
        <v>0</v>
      </c>
      <c r="F93" s="24">
        <f t="shared" si="40"/>
        <v>0</v>
      </c>
      <c r="G93" s="24">
        <f t="shared" si="40"/>
        <v>0</v>
      </c>
    </row>
    <row r="94" spans="1:7" ht="12.75">
      <c r="A94" s="47" t="s">
        <v>124</v>
      </c>
      <c r="B94" s="14">
        <f aca="true" t="shared" si="41" ref="B94:G94">B95+B96</f>
        <v>0</v>
      </c>
      <c r="C94" s="14">
        <f t="shared" si="41"/>
        <v>0</v>
      </c>
      <c r="D94" s="14">
        <f t="shared" si="41"/>
        <v>0</v>
      </c>
      <c r="E94" s="14">
        <f t="shared" si="41"/>
        <v>0</v>
      </c>
      <c r="F94" s="14">
        <f t="shared" si="41"/>
        <v>0</v>
      </c>
      <c r="G94" s="15">
        <f t="shared" si="41"/>
        <v>0</v>
      </c>
    </row>
    <row r="95" spans="1:7" ht="12">
      <c r="A95" s="45" t="s">
        <v>174</v>
      </c>
      <c r="B95" s="24">
        <f aca="true" t="shared" si="42" ref="B95:G95">B26</f>
        <v>0</v>
      </c>
      <c r="C95" s="24">
        <f t="shared" si="42"/>
        <v>0</v>
      </c>
      <c r="D95" s="24">
        <f t="shared" si="42"/>
        <v>0</v>
      </c>
      <c r="E95" s="24">
        <f t="shared" si="42"/>
        <v>0</v>
      </c>
      <c r="F95" s="24">
        <f t="shared" si="42"/>
        <v>0</v>
      </c>
      <c r="G95" s="24">
        <f t="shared" si="42"/>
        <v>0</v>
      </c>
    </row>
    <row r="96" spans="1:7" ht="12">
      <c r="A96" s="45" t="s">
        <v>175</v>
      </c>
      <c r="B96" s="24">
        <f aca="true" t="shared" si="43" ref="B96:G96">B29</f>
        <v>0</v>
      </c>
      <c r="C96" s="24">
        <f t="shared" si="43"/>
        <v>0</v>
      </c>
      <c r="D96" s="24">
        <f t="shared" si="43"/>
        <v>0</v>
      </c>
      <c r="E96" s="24">
        <f t="shared" si="43"/>
        <v>0</v>
      </c>
      <c r="F96" s="24">
        <f t="shared" si="43"/>
        <v>0</v>
      </c>
      <c r="G96" s="24">
        <f t="shared" si="43"/>
        <v>0</v>
      </c>
    </row>
    <row r="97" spans="1:7" ht="12.75">
      <c r="A97" s="47" t="s">
        <v>109</v>
      </c>
      <c r="B97" s="14">
        <f aca="true" t="shared" si="44" ref="B97:G97">B98+B99</f>
        <v>0</v>
      </c>
      <c r="C97" s="14">
        <f t="shared" si="44"/>
        <v>0</v>
      </c>
      <c r="D97" s="14">
        <f t="shared" si="44"/>
        <v>0</v>
      </c>
      <c r="E97" s="14">
        <f t="shared" si="44"/>
        <v>0</v>
      </c>
      <c r="F97" s="14">
        <f t="shared" si="44"/>
        <v>0</v>
      </c>
      <c r="G97" s="15">
        <f t="shared" si="44"/>
        <v>0</v>
      </c>
    </row>
    <row r="98" spans="1:7" ht="12">
      <c r="A98" s="45" t="s">
        <v>174</v>
      </c>
      <c r="B98" s="24">
        <f aca="true" t="shared" si="45" ref="B98:G98">B33</f>
        <v>0</v>
      </c>
      <c r="C98" s="24">
        <f t="shared" si="45"/>
        <v>0</v>
      </c>
      <c r="D98" s="24">
        <f t="shared" si="45"/>
        <v>0</v>
      </c>
      <c r="E98" s="24">
        <f t="shared" si="45"/>
        <v>0</v>
      </c>
      <c r="F98" s="24">
        <f t="shared" si="45"/>
        <v>0</v>
      </c>
      <c r="G98" s="24">
        <f t="shared" si="45"/>
        <v>0</v>
      </c>
    </row>
    <row r="99" spans="1:7" ht="12">
      <c r="A99" s="45" t="s">
        <v>175</v>
      </c>
      <c r="B99" s="24">
        <f aca="true" t="shared" si="46" ref="B99:G99">B36</f>
        <v>0</v>
      </c>
      <c r="C99" s="24">
        <f t="shared" si="46"/>
        <v>0</v>
      </c>
      <c r="D99" s="24">
        <f t="shared" si="46"/>
        <v>0</v>
      </c>
      <c r="E99" s="24">
        <f t="shared" si="46"/>
        <v>0</v>
      </c>
      <c r="F99" s="24">
        <f t="shared" si="46"/>
        <v>0</v>
      </c>
      <c r="G99" s="24">
        <f t="shared" si="46"/>
        <v>0</v>
      </c>
    </row>
    <row r="100" spans="1:7" ht="12.75">
      <c r="A100" s="47" t="s">
        <v>103</v>
      </c>
      <c r="B100" s="14">
        <f aca="true" t="shared" si="47" ref="B100:G100">B101+B102</f>
        <v>0</v>
      </c>
      <c r="C100" s="14">
        <f t="shared" si="47"/>
        <v>0</v>
      </c>
      <c r="D100" s="14">
        <f t="shared" si="47"/>
        <v>0</v>
      </c>
      <c r="E100" s="14">
        <f t="shared" si="47"/>
        <v>0</v>
      </c>
      <c r="F100" s="14">
        <f t="shared" si="47"/>
        <v>0</v>
      </c>
      <c r="G100" s="15">
        <f t="shared" si="47"/>
        <v>0</v>
      </c>
    </row>
    <row r="101" spans="1:7" ht="12">
      <c r="A101" s="45" t="s">
        <v>174</v>
      </c>
      <c r="B101" s="24">
        <f aca="true" t="shared" si="48" ref="B101:G101">B40</f>
        <v>0</v>
      </c>
      <c r="C101" s="24">
        <f t="shared" si="48"/>
        <v>0</v>
      </c>
      <c r="D101" s="24">
        <f t="shared" si="48"/>
        <v>0</v>
      </c>
      <c r="E101" s="24">
        <f t="shared" si="48"/>
        <v>0</v>
      </c>
      <c r="F101" s="24">
        <f t="shared" si="48"/>
        <v>0</v>
      </c>
      <c r="G101" s="24">
        <f t="shared" si="48"/>
        <v>0</v>
      </c>
    </row>
    <row r="102" spans="1:7" ht="12">
      <c r="A102" s="45" t="s">
        <v>175</v>
      </c>
      <c r="B102" s="24">
        <f aca="true" t="shared" si="49" ref="B102:G102">B43</f>
        <v>0</v>
      </c>
      <c r="C102" s="24">
        <f t="shared" si="49"/>
        <v>0</v>
      </c>
      <c r="D102" s="24">
        <f t="shared" si="49"/>
        <v>0</v>
      </c>
      <c r="E102" s="24">
        <f t="shared" si="49"/>
        <v>0</v>
      </c>
      <c r="F102" s="24">
        <f t="shared" si="49"/>
        <v>0</v>
      </c>
      <c r="G102" s="24">
        <f t="shared" si="49"/>
        <v>0</v>
      </c>
    </row>
    <row r="103" spans="1:7" ht="12.75">
      <c r="A103" s="47" t="s">
        <v>96</v>
      </c>
      <c r="B103" s="14">
        <f aca="true" t="shared" si="50" ref="B103:G103">B104+B105</f>
        <v>0</v>
      </c>
      <c r="C103" s="14">
        <f t="shared" si="50"/>
        <v>0</v>
      </c>
      <c r="D103" s="14">
        <f t="shared" si="50"/>
        <v>0</v>
      </c>
      <c r="E103" s="14">
        <f t="shared" si="50"/>
        <v>0</v>
      </c>
      <c r="F103" s="14">
        <f t="shared" si="50"/>
        <v>0</v>
      </c>
      <c r="G103" s="15">
        <f t="shared" si="50"/>
        <v>0</v>
      </c>
    </row>
    <row r="104" spans="1:7" ht="12">
      <c r="A104" s="45" t="s">
        <v>174</v>
      </c>
      <c r="B104" s="24">
        <f aca="true" t="shared" si="51" ref="B104:G104">B47</f>
        <v>0</v>
      </c>
      <c r="C104" s="24">
        <f t="shared" si="51"/>
        <v>0</v>
      </c>
      <c r="D104" s="24">
        <f t="shared" si="51"/>
        <v>0</v>
      </c>
      <c r="E104" s="24">
        <f t="shared" si="51"/>
        <v>0</v>
      </c>
      <c r="F104" s="24">
        <f t="shared" si="51"/>
        <v>0</v>
      </c>
      <c r="G104" s="24">
        <f t="shared" si="51"/>
        <v>0</v>
      </c>
    </row>
    <row r="105" spans="1:7" ht="12">
      <c r="A105" s="45" t="s">
        <v>175</v>
      </c>
      <c r="B105" s="24">
        <f aca="true" t="shared" si="52" ref="B105:G105">B50</f>
        <v>0</v>
      </c>
      <c r="C105" s="24">
        <f t="shared" si="52"/>
        <v>0</v>
      </c>
      <c r="D105" s="24">
        <f t="shared" si="52"/>
        <v>0</v>
      </c>
      <c r="E105" s="24">
        <f t="shared" si="52"/>
        <v>0</v>
      </c>
      <c r="F105" s="24">
        <f t="shared" si="52"/>
        <v>0</v>
      </c>
      <c r="G105" s="24">
        <f t="shared" si="52"/>
        <v>0</v>
      </c>
    </row>
    <row r="106" spans="1:7" ht="12.75">
      <c r="A106" s="47" t="s">
        <v>89</v>
      </c>
      <c r="B106" s="14">
        <f aca="true" t="shared" si="53" ref="B106:G106">B107+B108</f>
        <v>0</v>
      </c>
      <c r="C106" s="14">
        <f t="shared" si="53"/>
        <v>0</v>
      </c>
      <c r="D106" s="14">
        <f t="shared" si="53"/>
        <v>0</v>
      </c>
      <c r="E106" s="14">
        <f t="shared" si="53"/>
        <v>0</v>
      </c>
      <c r="F106" s="14">
        <f t="shared" si="53"/>
        <v>0</v>
      </c>
      <c r="G106" s="15">
        <f t="shared" si="53"/>
        <v>0</v>
      </c>
    </row>
    <row r="107" spans="1:7" ht="12">
      <c r="A107" s="45" t="s">
        <v>174</v>
      </c>
      <c r="B107" s="24">
        <f aca="true" t="shared" si="54" ref="B107:G107">B54</f>
        <v>0</v>
      </c>
      <c r="C107" s="24">
        <f t="shared" si="54"/>
        <v>0</v>
      </c>
      <c r="D107" s="24">
        <f t="shared" si="54"/>
        <v>0</v>
      </c>
      <c r="E107" s="24">
        <f t="shared" si="54"/>
        <v>0</v>
      </c>
      <c r="F107" s="24">
        <f t="shared" si="54"/>
        <v>0</v>
      </c>
      <c r="G107" s="24">
        <f t="shared" si="54"/>
        <v>0</v>
      </c>
    </row>
    <row r="108" spans="1:7" ht="12">
      <c r="A108" s="45" t="s">
        <v>175</v>
      </c>
      <c r="B108" s="24">
        <f aca="true" t="shared" si="55" ref="B108:G108">B57</f>
        <v>0</v>
      </c>
      <c r="C108" s="24">
        <f t="shared" si="55"/>
        <v>0</v>
      </c>
      <c r="D108" s="24">
        <f t="shared" si="55"/>
        <v>0</v>
      </c>
      <c r="E108" s="24">
        <f t="shared" si="55"/>
        <v>0</v>
      </c>
      <c r="F108" s="24">
        <f t="shared" si="55"/>
        <v>0</v>
      </c>
      <c r="G108" s="24">
        <f t="shared" si="55"/>
        <v>0</v>
      </c>
    </row>
    <row r="109" spans="1:7" ht="12.75">
      <c r="A109" s="47" t="s">
        <v>77</v>
      </c>
      <c r="B109" s="14">
        <f aca="true" t="shared" si="56" ref="B109:G109">B110+B111</f>
        <v>0</v>
      </c>
      <c r="C109" s="14">
        <f t="shared" si="56"/>
        <v>0</v>
      </c>
      <c r="D109" s="14">
        <f t="shared" si="56"/>
        <v>0</v>
      </c>
      <c r="E109" s="14">
        <f t="shared" si="56"/>
        <v>0</v>
      </c>
      <c r="F109" s="14">
        <f t="shared" si="56"/>
        <v>0</v>
      </c>
      <c r="G109" s="15">
        <f t="shared" si="56"/>
        <v>0</v>
      </c>
    </row>
    <row r="110" spans="1:7" ht="12">
      <c r="A110" s="45" t="s">
        <v>174</v>
      </c>
      <c r="B110" s="24">
        <f aca="true" t="shared" si="57" ref="B110:G110">B61</f>
        <v>0</v>
      </c>
      <c r="C110" s="24">
        <f t="shared" si="57"/>
        <v>0</v>
      </c>
      <c r="D110" s="24">
        <f t="shared" si="57"/>
        <v>0</v>
      </c>
      <c r="E110" s="24">
        <f t="shared" si="57"/>
        <v>0</v>
      </c>
      <c r="F110" s="24">
        <f t="shared" si="57"/>
        <v>0</v>
      </c>
      <c r="G110" s="24">
        <f t="shared" si="57"/>
        <v>0</v>
      </c>
    </row>
    <row r="111" spans="1:7" ht="12">
      <c r="A111" s="45" t="s">
        <v>175</v>
      </c>
      <c r="B111" s="24">
        <f aca="true" t="shared" si="58" ref="B111:G111">B64</f>
        <v>0</v>
      </c>
      <c r="C111" s="24">
        <f t="shared" si="58"/>
        <v>0</v>
      </c>
      <c r="D111" s="24">
        <f t="shared" si="58"/>
        <v>0</v>
      </c>
      <c r="E111" s="24">
        <f t="shared" si="58"/>
        <v>0</v>
      </c>
      <c r="F111" s="24">
        <f t="shared" si="58"/>
        <v>0</v>
      </c>
      <c r="G111" s="24">
        <f t="shared" si="58"/>
        <v>0</v>
      </c>
    </row>
    <row r="112" spans="1:7" ht="12.75">
      <c r="A112" s="47" t="s">
        <v>72</v>
      </c>
      <c r="B112" s="14">
        <f aca="true" t="shared" si="59" ref="B112:G112">B113+B114</f>
        <v>0</v>
      </c>
      <c r="C112" s="14">
        <f t="shared" si="59"/>
        <v>0</v>
      </c>
      <c r="D112" s="14">
        <f t="shared" si="59"/>
        <v>0</v>
      </c>
      <c r="E112" s="14">
        <f t="shared" si="59"/>
        <v>0</v>
      </c>
      <c r="F112" s="14">
        <f t="shared" si="59"/>
        <v>0</v>
      </c>
      <c r="G112" s="15">
        <f t="shared" si="59"/>
        <v>0</v>
      </c>
    </row>
    <row r="113" spans="1:7" ht="12">
      <c r="A113" s="45" t="s">
        <v>174</v>
      </c>
      <c r="B113" s="24">
        <f aca="true" t="shared" si="60" ref="B113:G113">B68</f>
        <v>0</v>
      </c>
      <c r="C113" s="24">
        <f t="shared" si="60"/>
        <v>0</v>
      </c>
      <c r="D113" s="24">
        <f t="shared" si="60"/>
        <v>0</v>
      </c>
      <c r="E113" s="24">
        <f t="shared" si="60"/>
        <v>0</v>
      </c>
      <c r="F113" s="24">
        <f t="shared" si="60"/>
        <v>0</v>
      </c>
      <c r="G113" s="24">
        <f t="shared" si="60"/>
        <v>0</v>
      </c>
    </row>
    <row r="114" spans="1:7" ht="12">
      <c r="A114" s="45" t="s">
        <v>175</v>
      </c>
      <c r="B114" s="24">
        <f aca="true" t="shared" si="61" ref="B114:G114">B71</f>
        <v>0</v>
      </c>
      <c r="C114" s="24">
        <f t="shared" si="61"/>
        <v>0</v>
      </c>
      <c r="D114" s="24">
        <f t="shared" si="61"/>
        <v>0</v>
      </c>
      <c r="E114" s="24">
        <f t="shared" si="61"/>
        <v>0</v>
      </c>
      <c r="F114" s="24">
        <f t="shared" si="61"/>
        <v>0</v>
      </c>
      <c r="G114" s="24">
        <f t="shared" si="61"/>
        <v>0</v>
      </c>
    </row>
    <row r="115" spans="1:7" ht="12.75">
      <c r="A115" s="47" t="s">
        <v>173</v>
      </c>
      <c r="B115" s="14">
        <f aca="true" t="shared" si="62" ref="B115:G117">B112+B109+B106+B103+B100+B97+B94+B91+B88+B85</f>
        <v>0</v>
      </c>
      <c r="C115" s="14">
        <f t="shared" si="62"/>
        <v>0</v>
      </c>
      <c r="D115" s="14">
        <f t="shared" si="62"/>
        <v>0</v>
      </c>
      <c r="E115" s="14">
        <f t="shared" si="62"/>
        <v>0</v>
      </c>
      <c r="F115" s="14">
        <f t="shared" si="62"/>
        <v>0</v>
      </c>
      <c r="G115" s="15">
        <f t="shared" si="62"/>
        <v>0</v>
      </c>
    </row>
    <row r="116" spans="1:7" ht="12">
      <c r="A116" s="45" t="s">
        <v>174</v>
      </c>
      <c r="B116" s="24">
        <f t="shared" si="62"/>
        <v>0</v>
      </c>
      <c r="C116" s="24">
        <f t="shared" si="62"/>
        <v>0</v>
      </c>
      <c r="D116" s="24">
        <f t="shared" si="62"/>
        <v>0</v>
      </c>
      <c r="E116" s="24">
        <f t="shared" si="62"/>
        <v>0</v>
      </c>
      <c r="F116" s="24">
        <f t="shared" si="62"/>
        <v>0</v>
      </c>
      <c r="G116" s="25">
        <f t="shared" si="62"/>
        <v>0</v>
      </c>
    </row>
    <row r="117" spans="1:7" ht="12.75" thickBot="1">
      <c r="A117" s="48" t="s">
        <v>175</v>
      </c>
      <c r="B117" s="27">
        <f t="shared" si="62"/>
        <v>0</v>
      </c>
      <c r="C117" s="27">
        <f t="shared" si="62"/>
        <v>0</v>
      </c>
      <c r="D117" s="27">
        <f t="shared" si="62"/>
        <v>0</v>
      </c>
      <c r="E117" s="27">
        <f t="shared" si="62"/>
        <v>0</v>
      </c>
      <c r="F117" s="27">
        <f t="shared" si="62"/>
        <v>0</v>
      </c>
      <c r="G117" s="28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9" sqref="C69:G69"/>
    </sheetView>
  </sheetViews>
  <sheetFormatPr defaultColWidth="9.140625" defaultRowHeight="12.75" outlineLevelRow="1"/>
  <cols>
    <col min="1" max="1" width="45.00390625" style="6" customWidth="1"/>
    <col min="2" max="2" width="10.00390625" style="6" customWidth="1"/>
    <col min="3" max="3" width="11.7109375" style="6" customWidth="1"/>
    <col min="4" max="4" width="9.57421875" style="6" customWidth="1"/>
    <col min="5" max="5" width="10.28125" style="6" customWidth="1"/>
    <col min="6" max="6" width="10.421875" style="6" customWidth="1"/>
    <col min="7" max="7" width="9.57421875" style="6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465" t="s">
        <v>503</v>
      </c>
      <c r="B1" s="291" t="s">
        <v>457</v>
      </c>
      <c r="C1" s="291" t="s">
        <v>458</v>
      </c>
      <c r="D1" s="291" t="s">
        <v>428</v>
      </c>
      <c r="E1" s="291" t="s">
        <v>441</v>
      </c>
      <c r="F1" s="291" t="s">
        <v>454</v>
      </c>
      <c r="G1" s="291" t="s">
        <v>459</v>
      </c>
      <c r="H1" s="3"/>
    </row>
    <row r="2" spans="1:7" ht="15" customHeight="1">
      <c r="A2" s="466" t="s">
        <v>313</v>
      </c>
      <c r="B2" s="467">
        <v>2017472</v>
      </c>
      <c r="C2" s="467">
        <v>2100000</v>
      </c>
      <c r="D2" s="467">
        <v>2300000</v>
      </c>
      <c r="E2" s="467">
        <v>2500000</v>
      </c>
      <c r="F2" s="467">
        <v>2700000</v>
      </c>
      <c r="G2" s="468">
        <v>2900000</v>
      </c>
    </row>
    <row r="3" spans="1:8" ht="12.75">
      <c r="A3" s="469" t="s">
        <v>314</v>
      </c>
      <c r="B3" s="470">
        <v>1868477</v>
      </c>
      <c r="C3" s="342">
        <v>1950000</v>
      </c>
      <c r="D3" s="342">
        <v>2150000</v>
      </c>
      <c r="E3" s="342">
        <v>2350000</v>
      </c>
      <c r="F3" s="342">
        <v>2550000</v>
      </c>
      <c r="G3" s="471">
        <v>2750000</v>
      </c>
      <c r="H3" s="232" t="s">
        <v>359</v>
      </c>
    </row>
    <row r="4" spans="1:9" ht="12.75">
      <c r="A4" s="472" t="s">
        <v>532</v>
      </c>
      <c r="B4" s="473"/>
      <c r="C4" s="473"/>
      <c r="D4" s="473"/>
      <c r="E4" s="473"/>
      <c r="F4" s="473"/>
      <c r="G4" s="474"/>
      <c r="H4" s="242" t="s">
        <v>346</v>
      </c>
      <c r="I4" s="4"/>
    </row>
    <row r="5" spans="1:10" ht="12.75">
      <c r="A5" s="469" t="s">
        <v>315</v>
      </c>
      <c r="B5" s="470">
        <v>11343</v>
      </c>
      <c r="C5" s="342">
        <v>12000</v>
      </c>
      <c r="D5" s="342">
        <v>13000</v>
      </c>
      <c r="E5" s="342">
        <v>14000</v>
      </c>
      <c r="F5" s="342">
        <v>15000</v>
      </c>
      <c r="G5" s="471">
        <v>16000</v>
      </c>
      <c r="H5" s="138" t="s">
        <v>316</v>
      </c>
      <c r="I5" s="4" t="s">
        <v>356</v>
      </c>
      <c r="J5" s="281" t="s">
        <v>504</v>
      </c>
    </row>
    <row r="6" spans="1:8" ht="12.75">
      <c r="A6" s="475" t="s">
        <v>317</v>
      </c>
      <c r="B6" s="476">
        <v>1690270</v>
      </c>
      <c r="C6" s="476">
        <v>1810000</v>
      </c>
      <c r="D6" s="476">
        <v>2030000</v>
      </c>
      <c r="E6" s="476">
        <v>2250000</v>
      </c>
      <c r="F6" s="476">
        <v>2470000</v>
      </c>
      <c r="G6" s="477">
        <v>2690000</v>
      </c>
      <c r="H6" s="284" t="s">
        <v>505</v>
      </c>
    </row>
    <row r="7" spans="1:9" ht="12.75">
      <c r="A7" s="478" t="s">
        <v>318</v>
      </c>
      <c r="B7" s="479"/>
      <c r="C7" s="480"/>
      <c r="D7" s="480"/>
      <c r="E7" s="480"/>
      <c r="F7" s="480"/>
      <c r="G7" s="481"/>
      <c r="H7" s="232" t="s">
        <v>359</v>
      </c>
      <c r="I7" s="4"/>
    </row>
    <row r="8" spans="1:10" ht="12.75">
      <c r="A8" s="482" t="s">
        <v>319</v>
      </c>
      <c r="B8" s="95"/>
      <c r="C8" s="95"/>
      <c r="D8" s="95"/>
      <c r="E8" s="95"/>
      <c r="F8" s="95"/>
      <c r="G8" s="95"/>
      <c r="H8" s="137" t="s">
        <v>325</v>
      </c>
      <c r="I8" s="4" t="s">
        <v>356</v>
      </c>
      <c r="J8" s="3"/>
    </row>
    <row r="9" spans="1:10" ht="12.75">
      <c r="A9" s="472" t="s">
        <v>533</v>
      </c>
      <c r="B9" s="483"/>
      <c r="C9" s="484"/>
      <c r="D9" s="484"/>
      <c r="E9" s="484"/>
      <c r="F9" s="484"/>
      <c r="G9" s="485"/>
      <c r="H9" s="3"/>
      <c r="J9" s="3"/>
    </row>
    <row r="10" spans="1:7" ht="12.75">
      <c r="A10" s="486" t="s">
        <v>9</v>
      </c>
      <c r="B10" s="487">
        <f aca="true" t="shared" si="0" ref="B10:G10">B2-B6</f>
        <v>327202</v>
      </c>
      <c r="C10" s="487">
        <f t="shared" si="0"/>
        <v>290000</v>
      </c>
      <c r="D10" s="487">
        <f t="shared" si="0"/>
        <v>270000</v>
      </c>
      <c r="E10" s="487">
        <f t="shared" si="0"/>
        <v>250000</v>
      </c>
      <c r="F10" s="487">
        <f t="shared" si="0"/>
        <v>230000</v>
      </c>
      <c r="G10" s="488">
        <f t="shared" si="0"/>
        <v>210000</v>
      </c>
    </row>
    <row r="11" spans="1:9" ht="12.75">
      <c r="A11" s="489" t="s">
        <v>320</v>
      </c>
      <c r="B11" s="476">
        <v>-211068</v>
      </c>
      <c r="C11" s="476">
        <v>-138101</v>
      </c>
      <c r="D11" s="476">
        <v>-188119</v>
      </c>
      <c r="E11" s="476">
        <v>-186408</v>
      </c>
      <c r="F11" s="476">
        <v>-186150</v>
      </c>
      <c r="G11" s="477">
        <v>-185309</v>
      </c>
      <c r="H11" t="s">
        <v>334</v>
      </c>
      <c r="I11" s="136"/>
    </row>
    <row r="12" spans="1:7" ht="12.75">
      <c r="A12" s="489" t="s">
        <v>3</v>
      </c>
      <c r="B12" s="487">
        <f aca="true" t="shared" si="1" ref="B12:G12">B10+B11</f>
        <v>116134</v>
      </c>
      <c r="C12" s="487">
        <f t="shared" si="1"/>
        <v>151899</v>
      </c>
      <c r="D12" s="487">
        <f t="shared" si="1"/>
        <v>81881</v>
      </c>
      <c r="E12" s="487">
        <f t="shared" si="1"/>
        <v>63592</v>
      </c>
      <c r="F12" s="487">
        <f t="shared" si="1"/>
        <v>43850</v>
      </c>
      <c r="G12" s="488">
        <f t="shared" si="1"/>
        <v>24691</v>
      </c>
    </row>
    <row r="13" spans="1:8" ht="12.75">
      <c r="A13" s="489" t="s">
        <v>321</v>
      </c>
      <c r="B13" s="476">
        <v>-160044</v>
      </c>
      <c r="C13" s="476">
        <v>13423</v>
      </c>
      <c r="D13" s="476">
        <v>-56694</v>
      </c>
      <c r="E13" s="476">
        <v>-33729</v>
      </c>
      <c r="F13" s="476">
        <v>-16788</v>
      </c>
      <c r="G13" s="477">
        <v>-22209</v>
      </c>
      <c r="H13" t="s">
        <v>326</v>
      </c>
    </row>
    <row r="14" spans="1:7" ht="25.5">
      <c r="A14" s="298" t="s">
        <v>44</v>
      </c>
      <c r="B14" s="490">
        <v>175607</v>
      </c>
      <c r="C14" s="345">
        <v>10000</v>
      </c>
      <c r="D14" s="345">
        <v>-10000</v>
      </c>
      <c r="E14" s="345">
        <v>10000</v>
      </c>
      <c r="F14" s="345">
        <v>-15000</v>
      </c>
      <c r="G14" s="491">
        <v>15000</v>
      </c>
    </row>
    <row r="15" spans="1:8" ht="12.75">
      <c r="A15" s="298" t="s">
        <v>443</v>
      </c>
      <c r="B15" s="490">
        <f aca="true" t="shared" si="2" ref="B15:G15">+B14-B12-B13</f>
        <v>219517</v>
      </c>
      <c r="C15" s="490">
        <f t="shared" si="2"/>
        <v>-155322</v>
      </c>
      <c r="D15" s="490">
        <f t="shared" si="2"/>
        <v>-35187</v>
      </c>
      <c r="E15" s="490">
        <f t="shared" si="2"/>
        <v>-19863</v>
      </c>
      <c r="F15" s="490">
        <f t="shared" si="2"/>
        <v>-42062</v>
      </c>
      <c r="G15" s="490">
        <f t="shared" si="2"/>
        <v>12518</v>
      </c>
      <c r="H15" s="226" t="s">
        <v>349</v>
      </c>
    </row>
    <row r="16" spans="1:7" ht="12.75">
      <c r="A16" s="492"/>
      <c r="B16" s="493"/>
      <c r="C16" s="493"/>
      <c r="D16" s="493"/>
      <c r="E16" s="493"/>
      <c r="F16" s="493"/>
      <c r="G16" s="494"/>
    </row>
    <row r="17" spans="1:8" ht="17.25" customHeight="1">
      <c r="A17" s="298" t="s">
        <v>7</v>
      </c>
      <c r="B17" s="476">
        <v>187113</v>
      </c>
      <c r="C17" s="495">
        <f>B17+C14</f>
        <v>197113</v>
      </c>
      <c r="D17" s="495">
        <f>C17+D14</f>
        <v>187113</v>
      </c>
      <c r="E17" s="495">
        <f>D17+E14</f>
        <v>197113</v>
      </c>
      <c r="F17" s="495">
        <f>E17+F14</f>
        <v>182113</v>
      </c>
      <c r="G17" s="496">
        <f>F17+G14</f>
        <v>197113</v>
      </c>
      <c r="H17" s="223"/>
    </row>
    <row r="18" spans="1:7" ht="12.75">
      <c r="A18" s="497" t="s">
        <v>19</v>
      </c>
      <c r="B18" s="498">
        <v>443932</v>
      </c>
      <c r="C18" s="499">
        <f>B18+C13</f>
        <v>457355</v>
      </c>
      <c r="D18" s="499">
        <f>C18+D13</f>
        <v>400661</v>
      </c>
      <c r="E18" s="499">
        <f>D18+E13</f>
        <v>366932</v>
      </c>
      <c r="F18" s="499">
        <f>E18+F13</f>
        <v>350144</v>
      </c>
      <c r="G18" s="499">
        <f>F18+G13</f>
        <v>327935</v>
      </c>
    </row>
    <row r="19" spans="1:8" ht="21">
      <c r="A19" s="500" t="s">
        <v>374</v>
      </c>
      <c r="B19" s="498"/>
      <c r="C19" s="345"/>
      <c r="D19" s="501"/>
      <c r="E19" s="501"/>
      <c r="F19" s="501"/>
      <c r="G19" s="502"/>
      <c r="H19" s="247" t="s">
        <v>430</v>
      </c>
    </row>
    <row r="20" spans="1:8" ht="12.75">
      <c r="A20" s="500" t="s">
        <v>51</v>
      </c>
      <c r="B20" s="498"/>
      <c r="C20" s="345"/>
      <c r="D20" s="501"/>
      <c r="E20" s="501"/>
      <c r="F20" s="501"/>
      <c r="G20" s="502"/>
      <c r="H20" s="248" t="s">
        <v>322</v>
      </c>
    </row>
    <row r="21" spans="1:8" ht="12.75">
      <c r="A21" s="503" t="s">
        <v>343</v>
      </c>
      <c r="B21" s="504"/>
      <c r="C21" s="505"/>
      <c r="D21" s="506"/>
      <c r="E21" s="506"/>
      <c r="F21" s="506"/>
      <c r="G21" s="507"/>
      <c r="H21" s="249" t="s">
        <v>347</v>
      </c>
    </row>
    <row r="22" spans="1:7" ht="27.75" customHeight="1">
      <c r="A22" s="298" t="s">
        <v>46</v>
      </c>
      <c r="B22" s="508">
        <f aca="true" t="shared" si="3" ref="B22:G22">IF(B18-B17&lt;0,0,B18-B17)</f>
        <v>256819</v>
      </c>
      <c r="C22" s="508">
        <f t="shared" si="3"/>
        <v>260242</v>
      </c>
      <c r="D22" s="508">
        <f t="shared" si="3"/>
        <v>213548</v>
      </c>
      <c r="E22" s="508">
        <f t="shared" si="3"/>
        <v>169819</v>
      </c>
      <c r="F22" s="508">
        <f t="shared" si="3"/>
        <v>168031</v>
      </c>
      <c r="G22" s="509">
        <f t="shared" si="3"/>
        <v>130822</v>
      </c>
    </row>
    <row r="23" spans="1:7" ht="13.5" thickBot="1">
      <c r="A23" s="510" t="s">
        <v>47</v>
      </c>
      <c r="B23" s="511">
        <f aca="true" t="shared" si="4" ref="B23:G23">B22/B2</f>
        <v>0.12729742965453797</v>
      </c>
      <c r="C23" s="511">
        <f t="shared" si="4"/>
        <v>0.1239247619047619</v>
      </c>
      <c r="D23" s="511">
        <f t="shared" si="4"/>
        <v>0.09284695652173913</v>
      </c>
      <c r="E23" s="511">
        <f t="shared" si="4"/>
        <v>0.0679276</v>
      </c>
      <c r="F23" s="511">
        <f t="shared" si="4"/>
        <v>0.0622337037037037</v>
      </c>
      <c r="G23" s="512">
        <f t="shared" si="4"/>
        <v>0.04511103448275862</v>
      </c>
    </row>
    <row r="24" spans="1:7" s="4" customFormat="1" ht="13.5" thickBot="1">
      <c r="A24" s="444"/>
      <c r="B24" s="513">
        <f aca="true" t="shared" si="5" ref="B24:G24">B12+B13-B14+B15</f>
        <v>0</v>
      </c>
      <c r="C24" s="513">
        <f t="shared" si="5"/>
        <v>0</v>
      </c>
      <c r="D24" s="513">
        <f t="shared" si="5"/>
        <v>0</v>
      </c>
      <c r="E24" s="513">
        <f t="shared" si="5"/>
        <v>0</v>
      </c>
      <c r="F24" s="513">
        <f t="shared" si="5"/>
        <v>0</v>
      </c>
      <c r="G24" s="513">
        <f t="shared" si="5"/>
        <v>0</v>
      </c>
    </row>
    <row r="25" spans="1:7" s="4" customFormat="1" ht="26.25" thickBot="1">
      <c r="A25" s="465" t="s">
        <v>511</v>
      </c>
      <c r="B25" s="291" t="s">
        <v>457</v>
      </c>
      <c r="C25" s="291" t="s">
        <v>458</v>
      </c>
      <c r="D25" s="291" t="s">
        <v>428</v>
      </c>
      <c r="E25" s="291" t="s">
        <v>441</v>
      </c>
      <c r="F25" s="291" t="s">
        <v>454</v>
      </c>
      <c r="G25" s="291" t="s">
        <v>459</v>
      </c>
    </row>
    <row r="26" spans="1:9" s="4" customFormat="1" ht="12.75" outlineLevel="1">
      <c r="A26" s="466" t="s">
        <v>313</v>
      </c>
      <c r="B26" s="514">
        <v>406375</v>
      </c>
      <c r="C26" s="514">
        <v>353000</v>
      </c>
      <c r="D26" s="514">
        <v>435000</v>
      </c>
      <c r="E26" s="514">
        <v>455000</v>
      </c>
      <c r="F26" s="514">
        <v>475000</v>
      </c>
      <c r="G26" s="515">
        <v>465000</v>
      </c>
      <c r="H26" s="287" t="s">
        <v>512</v>
      </c>
      <c r="I26" s="288"/>
    </row>
    <row r="27" spans="1:9" s="4" customFormat="1" ht="12.75" outlineLevel="1">
      <c r="A27" s="469" t="s">
        <v>314</v>
      </c>
      <c r="B27" s="490">
        <v>106000</v>
      </c>
      <c r="C27" s="345">
        <v>95000</v>
      </c>
      <c r="D27" s="345">
        <v>95000</v>
      </c>
      <c r="E27" s="345">
        <v>95000</v>
      </c>
      <c r="F27" s="345">
        <v>95000</v>
      </c>
      <c r="G27" s="345">
        <v>95000</v>
      </c>
      <c r="H27" s="287" t="s">
        <v>513</v>
      </c>
      <c r="I27" s="288"/>
    </row>
    <row r="28" spans="1:9" ht="12.75" outlineLevel="1">
      <c r="A28" s="516" t="s">
        <v>344</v>
      </c>
      <c r="B28" s="473"/>
      <c r="C28" s="473"/>
      <c r="D28" s="473"/>
      <c r="E28" s="473"/>
      <c r="F28" s="473"/>
      <c r="G28" s="474"/>
      <c r="H28" s="289" t="s">
        <v>514</v>
      </c>
      <c r="I28" s="290"/>
    </row>
    <row r="29" spans="1:7" ht="12.75" outlineLevel="1">
      <c r="A29" s="469" t="s">
        <v>315</v>
      </c>
      <c r="B29" s="490"/>
      <c r="C29" s="345"/>
      <c r="D29" s="345"/>
      <c r="E29" s="345"/>
      <c r="F29" s="345"/>
      <c r="G29" s="491"/>
    </row>
    <row r="30" spans="1:7" ht="12.75" outlineLevel="1">
      <c r="A30" s="475" t="s">
        <v>317</v>
      </c>
      <c r="B30" s="476">
        <v>334438</v>
      </c>
      <c r="C30" s="476">
        <v>360000</v>
      </c>
      <c r="D30" s="476">
        <v>420000</v>
      </c>
      <c r="E30" s="476">
        <v>450000</v>
      </c>
      <c r="F30" s="476">
        <v>475000</v>
      </c>
      <c r="G30" s="477">
        <v>475000</v>
      </c>
    </row>
    <row r="31" spans="1:7" ht="12.75" outlineLevel="1">
      <c r="A31" s="478" t="s">
        <v>318</v>
      </c>
      <c r="B31" s="480"/>
      <c r="C31" s="480"/>
      <c r="D31" s="480"/>
      <c r="E31" s="480"/>
      <c r="F31" s="480"/>
      <c r="G31" s="481"/>
    </row>
    <row r="32" spans="1:7" ht="12.75" outlineLevel="1">
      <c r="A32" s="482" t="s">
        <v>319</v>
      </c>
      <c r="B32" s="517"/>
      <c r="C32" s="517"/>
      <c r="D32" s="517"/>
      <c r="E32" s="517"/>
      <c r="F32" s="517"/>
      <c r="G32" s="518"/>
    </row>
    <row r="33" spans="1:7" ht="12.75" outlineLevel="1">
      <c r="A33" s="516" t="s">
        <v>345</v>
      </c>
      <c r="B33" s="483"/>
      <c r="C33" s="484"/>
      <c r="D33" s="484"/>
      <c r="E33" s="484"/>
      <c r="F33" s="484"/>
      <c r="G33" s="485"/>
    </row>
    <row r="34" spans="1:7" ht="12.75" outlineLevel="1">
      <c r="A34" s="486" t="s">
        <v>9</v>
      </c>
      <c r="B34" s="487">
        <f aca="true" t="shared" si="6" ref="B34:G34">B26-B30</f>
        <v>71937</v>
      </c>
      <c r="C34" s="487">
        <f t="shared" si="6"/>
        <v>-7000</v>
      </c>
      <c r="D34" s="487">
        <f t="shared" si="6"/>
        <v>15000</v>
      </c>
      <c r="E34" s="487">
        <f t="shared" si="6"/>
        <v>5000</v>
      </c>
      <c r="F34" s="487">
        <f t="shared" si="6"/>
        <v>0</v>
      </c>
      <c r="G34" s="488">
        <f t="shared" si="6"/>
        <v>-10000</v>
      </c>
    </row>
    <row r="35" spans="1:7" ht="12.75" outlineLevel="1">
      <c r="A35" s="519" t="s">
        <v>320</v>
      </c>
      <c r="B35" s="476"/>
      <c r="C35" s="476">
        <v>-43000</v>
      </c>
      <c r="D35" s="476">
        <v>-15000</v>
      </c>
      <c r="E35" s="476">
        <v>-25000</v>
      </c>
      <c r="F35" s="476">
        <v>0</v>
      </c>
      <c r="G35" s="477"/>
    </row>
    <row r="36" spans="1:7" ht="12.75" outlineLevel="1">
      <c r="A36" s="489" t="s">
        <v>3</v>
      </c>
      <c r="B36" s="487">
        <f aca="true" t="shared" si="7" ref="B36:G36">B34+B35</f>
        <v>71937</v>
      </c>
      <c r="C36" s="487">
        <f t="shared" si="7"/>
        <v>-50000</v>
      </c>
      <c r="D36" s="487">
        <f t="shared" si="7"/>
        <v>0</v>
      </c>
      <c r="E36" s="487">
        <f t="shared" si="7"/>
        <v>-20000</v>
      </c>
      <c r="F36" s="487">
        <f t="shared" si="7"/>
        <v>0</v>
      </c>
      <c r="G36" s="488">
        <f t="shared" si="7"/>
        <v>-10000</v>
      </c>
    </row>
    <row r="37" spans="1:7" ht="12.75" outlineLevel="1">
      <c r="A37" s="489" t="s">
        <v>321</v>
      </c>
      <c r="B37" s="476">
        <v>0</v>
      </c>
      <c r="C37" s="476"/>
      <c r="D37" s="476"/>
      <c r="E37" s="476"/>
      <c r="F37" s="476"/>
      <c r="G37" s="477"/>
    </row>
    <row r="38" spans="1:7" ht="25.5" outlineLevel="1">
      <c r="A38" s="298" t="s">
        <v>44</v>
      </c>
      <c r="B38" s="490">
        <v>63288</v>
      </c>
      <c r="C38" s="345">
        <v>-50000</v>
      </c>
      <c r="D38" s="345"/>
      <c r="E38" s="345">
        <v>-20000</v>
      </c>
      <c r="F38" s="345"/>
      <c r="G38" s="491">
        <v>-10000</v>
      </c>
    </row>
    <row r="39" spans="1:7" ht="25.5" outlineLevel="1">
      <c r="A39" s="298" t="s">
        <v>45</v>
      </c>
      <c r="B39" s="490">
        <v>-8649</v>
      </c>
      <c r="C39" s="345"/>
      <c r="D39" s="345"/>
      <c r="E39" s="345"/>
      <c r="F39" s="345"/>
      <c r="G39" s="491"/>
    </row>
    <row r="40" spans="1:7" ht="12.75" outlineLevel="1">
      <c r="A40" s="492"/>
      <c r="B40" s="493"/>
      <c r="C40" s="493"/>
      <c r="D40" s="493"/>
      <c r="E40" s="493"/>
      <c r="F40" s="493"/>
      <c r="G40" s="494"/>
    </row>
    <row r="41" spans="1:7" ht="12.75" outlineLevel="1">
      <c r="A41" s="298" t="s">
        <v>7</v>
      </c>
      <c r="B41" s="476">
        <v>146452</v>
      </c>
      <c r="C41" s="495">
        <f>B41+C38</f>
        <v>96452</v>
      </c>
      <c r="D41" s="495">
        <f>C41+D38</f>
        <v>96452</v>
      </c>
      <c r="E41" s="495">
        <f>D41+E38</f>
        <v>76452</v>
      </c>
      <c r="F41" s="495">
        <f>E41+F38</f>
        <v>76452</v>
      </c>
      <c r="G41" s="496">
        <f>F41+G38</f>
        <v>66452</v>
      </c>
    </row>
    <row r="42" spans="1:7" ht="12.75" outlineLevel="1">
      <c r="A42" s="497" t="s">
        <v>19</v>
      </c>
      <c r="B42" s="498"/>
      <c r="C42" s="499">
        <f>B42+C37</f>
        <v>0</v>
      </c>
      <c r="D42" s="499">
        <f>C42+D37</f>
        <v>0</v>
      </c>
      <c r="E42" s="499">
        <f>D42+E37</f>
        <v>0</v>
      </c>
      <c r="F42" s="499">
        <f>E42+F37</f>
        <v>0</v>
      </c>
      <c r="G42" s="499">
        <f>F42+G37</f>
        <v>0</v>
      </c>
    </row>
    <row r="43" spans="1:7" ht="24.75" customHeight="1" outlineLevel="1">
      <c r="A43" s="500" t="s">
        <v>374</v>
      </c>
      <c r="B43" s="520"/>
      <c r="C43" s="501"/>
      <c r="D43" s="501"/>
      <c r="E43" s="501"/>
      <c r="F43" s="501"/>
      <c r="G43" s="521"/>
    </row>
    <row r="44" spans="1:7" ht="12.75" outlineLevel="1">
      <c r="A44" s="500" t="s">
        <v>51</v>
      </c>
      <c r="B44" s="498"/>
      <c r="C44" s="345"/>
      <c r="D44" s="501"/>
      <c r="E44" s="501"/>
      <c r="F44" s="501"/>
      <c r="G44" s="521"/>
    </row>
    <row r="45" spans="1:7" ht="12.75" outlineLevel="1">
      <c r="A45" s="503" t="s">
        <v>343</v>
      </c>
      <c r="B45" s="504"/>
      <c r="C45" s="505"/>
      <c r="D45" s="506"/>
      <c r="E45" s="506"/>
      <c r="F45" s="506"/>
      <c r="G45" s="522"/>
    </row>
    <row r="46" spans="1:7" ht="12.75" outlineLevel="1">
      <c r="A46" s="298" t="s">
        <v>46</v>
      </c>
      <c r="B46" s="508">
        <f aca="true" t="shared" si="8" ref="B46:G46">IF(B42-B41&lt;0,0,B42-B41)</f>
        <v>0</v>
      </c>
      <c r="C46" s="508">
        <f t="shared" si="8"/>
        <v>0</v>
      </c>
      <c r="D46" s="508">
        <f t="shared" si="8"/>
        <v>0</v>
      </c>
      <c r="E46" s="508">
        <f t="shared" si="8"/>
        <v>0</v>
      </c>
      <c r="F46" s="508">
        <f t="shared" si="8"/>
        <v>0</v>
      </c>
      <c r="G46" s="509">
        <f t="shared" si="8"/>
        <v>0</v>
      </c>
    </row>
    <row r="47" spans="1:7" ht="13.5" outlineLevel="1" thickBot="1">
      <c r="A47" s="510" t="s">
        <v>47</v>
      </c>
      <c r="B47" s="511">
        <f aca="true" t="shared" si="9" ref="B47:G47">B46/B26</f>
        <v>0</v>
      </c>
      <c r="C47" s="511">
        <f t="shared" si="9"/>
        <v>0</v>
      </c>
      <c r="D47" s="511">
        <f t="shared" si="9"/>
        <v>0</v>
      </c>
      <c r="E47" s="511">
        <f t="shared" si="9"/>
        <v>0</v>
      </c>
      <c r="F47" s="511">
        <f t="shared" si="9"/>
        <v>0</v>
      </c>
      <c r="G47" s="512">
        <f t="shared" si="9"/>
        <v>0</v>
      </c>
    </row>
    <row r="48" spans="1:7" ht="13.5" thickBot="1">
      <c r="A48" s="95"/>
      <c r="B48" s="513">
        <f aca="true" t="shared" si="10" ref="B48:G48">B36+B37-B38+B39</f>
        <v>0</v>
      </c>
      <c r="C48" s="513">
        <f t="shared" si="10"/>
        <v>0</v>
      </c>
      <c r="D48" s="513">
        <f t="shared" si="10"/>
        <v>0</v>
      </c>
      <c r="E48" s="513">
        <f t="shared" si="10"/>
        <v>0</v>
      </c>
      <c r="F48" s="513">
        <f t="shared" si="10"/>
        <v>0</v>
      </c>
      <c r="G48" s="513">
        <f t="shared" si="10"/>
        <v>0</v>
      </c>
    </row>
    <row r="49" spans="1:7" ht="26.25" thickBot="1">
      <c r="A49" s="465" t="s">
        <v>515</v>
      </c>
      <c r="B49" s="291" t="s">
        <v>457</v>
      </c>
      <c r="C49" s="291" t="s">
        <v>458</v>
      </c>
      <c r="D49" s="291" t="s">
        <v>428</v>
      </c>
      <c r="E49" s="291" t="s">
        <v>441</v>
      </c>
      <c r="F49" s="291" t="s">
        <v>454</v>
      </c>
      <c r="G49" s="291" t="s">
        <v>459</v>
      </c>
    </row>
    <row r="50" spans="1:7" ht="12.75" outlineLevel="1">
      <c r="A50" s="466" t="s">
        <v>313</v>
      </c>
      <c r="B50" s="467">
        <v>517954</v>
      </c>
      <c r="C50" s="467">
        <v>520000</v>
      </c>
      <c r="D50" s="467">
        <v>550000</v>
      </c>
      <c r="E50" s="467">
        <v>550000</v>
      </c>
      <c r="F50" s="467">
        <v>550000</v>
      </c>
      <c r="G50" s="467">
        <v>550000</v>
      </c>
    </row>
    <row r="51" spans="1:7" ht="12.75" outlineLevel="1">
      <c r="A51" s="469" t="s">
        <v>314</v>
      </c>
      <c r="B51" s="470">
        <v>355777</v>
      </c>
      <c r="C51" s="342">
        <v>355000</v>
      </c>
      <c r="D51" s="342">
        <v>360000</v>
      </c>
      <c r="E51" s="342">
        <v>360000</v>
      </c>
      <c r="F51" s="342">
        <v>360000</v>
      </c>
      <c r="G51" s="342">
        <v>360000</v>
      </c>
    </row>
    <row r="52" spans="1:7" ht="12.75" outlineLevel="1">
      <c r="A52" s="516" t="s">
        <v>344</v>
      </c>
      <c r="B52" s="473"/>
      <c r="C52" s="473"/>
      <c r="D52" s="473"/>
      <c r="E52" s="473"/>
      <c r="F52" s="473"/>
      <c r="G52" s="474"/>
    </row>
    <row r="53" spans="1:7" ht="12.75" outlineLevel="1">
      <c r="A53" s="469" t="s">
        <v>315</v>
      </c>
      <c r="B53" s="490">
        <v>11343</v>
      </c>
      <c r="C53" s="342">
        <v>12000</v>
      </c>
      <c r="D53" s="342">
        <v>13000</v>
      </c>
      <c r="E53" s="342">
        <v>14000</v>
      </c>
      <c r="F53" s="342">
        <v>15000</v>
      </c>
      <c r="G53" s="471">
        <v>16000</v>
      </c>
    </row>
    <row r="54" spans="1:7" ht="12.75" outlineLevel="1">
      <c r="A54" s="475" t="s">
        <v>317</v>
      </c>
      <c r="B54" s="523">
        <v>463009</v>
      </c>
      <c r="C54" s="467">
        <v>520000</v>
      </c>
      <c r="D54" s="467">
        <v>550000</v>
      </c>
      <c r="E54" s="467">
        <v>550000</v>
      </c>
      <c r="F54" s="467">
        <v>550000</v>
      </c>
      <c r="G54" s="467">
        <v>550000</v>
      </c>
    </row>
    <row r="55" spans="1:7" ht="12.75" outlineLevel="1">
      <c r="A55" s="524" t="s">
        <v>318</v>
      </c>
      <c r="B55" s="480"/>
      <c r="C55" s="480"/>
      <c r="D55" s="480"/>
      <c r="E55" s="480"/>
      <c r="F55" s="480"/>
      <c r="G55" s="481"/>
    </row>
    <row r="56" spans="1:7" ht="12.75" outlineLevel="1">
      <c r="A56" s="524" t="s">
        <v>319</v>
      </c>
      <c r="B56" s="517"/>
      <c r="C56" s="517"/>
      <c r="D56" s="517"/>
      <c r="E56" s="517"/>
      <c r="F56" s="517"/>
      <c r="G56" s="518"/>
    </row>
    <row r="57" spans="1:7" ht="12.75" outlineLevel="1">
      <c r="A57" s="516" t="s">
        <v>345</v>
      </c>
      <c r="B57" s="483"/>
      <c r="C57" s="484"/>
      <c r="D57" s="484"/>
      <c r="E57" s="484"/>
      <c r="F57" s="484"/>
      <c r="G57" s="485"/>
    </row>
    <row r="58" spans="1:7" ht="12.75" outlineLevel="1">
      <c r="A58" s="525" t="s">
        <v>9</v>
      </c>
      <c r="B58" s="487">
        <f aca="true" t="shared" si="11" ref="B58:G58">B50-B54</f>
        <v>54945</v>
      </c>
      <c r="C58" s="487">
        <f t="shared" si="11"/>
        <v>0</v>
      </c>
      <c r="D58" s="487">
        <f t="shared" si="11"/>
        <v>0</v>
      </c>
      <c r="E58" s="487">
        <f t="shared" si="11"/>
        <v>0</v>
      </c>
      <c r="F58" s="487">
        <f t="shared" si="11"/>
        <v>0</v>
      </c>
      <c r="G58" s="488">
        <f t="shared" si="11"/>
        <v>0</v>
      </c>
    </row>
    <row r="59" spans="1:8" ht="37.5" outlineLevel="1">
      <c r="A59" s="489" t="s">
        <v>320</v>
      </c>
      <c r="B59" s="523">
        <v>334381</v>
      </c>
      <c r="C59" s="523">
        <v>-2370889</v>
      </c>
      <c r="D59" s="523">
        <v>380194</v>
      </c>
      <c r="E59" s="523">
        <v>481650</v>
      </c>
      <c r="F59" s="523">
        <v>398877</v>
      </c>
      <c r="G59" s="526">
        <v>372154</v>
      </c>
      <c r="H59" s="286" t="s">
        <v>516</v>
      </c>
    </row>
    <row r="60" spans="1:7" ht="12.75" outlineLevel="1">
      <c r="A60" s="489" t="s">
        <v>3</v>
      </c>
      <c r="B60" s="487">
        <f aca="true" t="shared" si="12" ref="B60:G60">B58+B59</f>
        <v>389326</v>
      </c>
      <c r="C60" s="487">
        <f t="shared" si="12"/>
        <v>-2370889</v>
      </c>
      <c r="D60" s="487">
        <f t="shared" si="12"/>
        <v>380194</v>
      </c>
      <c r="E60" s="487">
        <f t="shared" si="12"/>
        <v>481650</v>
      </c>
      <c r="F60" s="487">
        <f t="shared" si="12"/>
        <v>398877</v>
      </c>
      <c r="G60" s="488">
        <f t="shared" si="12"/>
        <v>372154</v>
      </c>
    </row>
    <row r="61" spans="1:8" ht="12.75" outlineLevel="1">
      <c r="A61" s="489" t="s">
        <v>321</v>
      </c>
      <c r="B61" s="523">
        <v>-398165</v>
      </c>
      <c r="C61" s="523">
        <v>2295706</v>
      </c>
      <c r="D61" s="523">
        <v>-530194</v>
      </c>
      <c r="E61" s="523">
        <v>-531650</v>
      </c>
      <c r="F61" s="523">
        <v>-398877</v>
      </c>
      <c r="G61" s="526">
        <v>-372154</v>
      </c>
      <c r="H61" s="285" t="s">
        <v>517</v>
      </c>
    </row>
    <row r="62" spans="1:7" ht="25.5" outlineLevel="1">
      <c r="A62" s="298" t="s">
        <v>44</v>
      </c>
      <c r="B62" s="490">
        <v>65658</v>
      </c>
      <c r="C62" s="345">
        <v>-75183</v>
      </c>
      <c r="D62" s="345">
        <v>-150000</v>
      </c>
      <c r="E62" s="345">
        <v>-50000</v>
      </c>
      <c r="F62" s="345"/>
      <c r="G62" s="491"/>
    </row>
    <row r="63" spans="1:7" ht="25.5" outlineLevel="1">
      <c r="A63" s="298" t="s">
        <v>45</v>
      </c>
      <c r="B63" s="490">
        <v>74497</v>
      </c>
      <c r="C63" s="345"/>
      <c r="D63" s="345"/>
      <c r="E63" s="345"/>
      <c r="F63" s="345"/>
      <c r="G63" s="491"/>
    </row>
    <row r="64" spans="1:7" ht="24.75" customHeight="1" outlineLevel="1">
      <c r="A64" s="492"/>
      <c r="B64" s="493"/>
      <c r="C64" s="493"/>
      <c r="D64" s="493"/>
      <c r="E64" s="493"/>
      <c r="F64" s="493"/>
      <c r="G64" s="494"/>
    </row>
    <row r="65" spans="1:7" ht="12.75" outlineLevel="1">
      <c r="A65" s="298" t="s">
        <v>7</v>
      </c>
      <c r="B65" s="476">
        <v>315185</v>
      </c>
      <c r="C65" s="495">
        <f>B65+C62</f>
        <v>240002</v>
      </c>
      <c r="D65" s="495">
        <f>C65+D62</f>
        <v>90002</v>
      </c>
      <c r="E65" s="495">
        <f>D65+E62</f>
        <v>40002</v>
      </c>
      <c r="F65" s="495">
        <f>E65+F62</f>
        <v>40002</v>
      </c>
      <c r="G65" s="496">
        <f>F65+G62</f>
        <v>40002</v>
      </c>
    </row>
    <row r="66" spans="1:7" ht="12.75" outlineLevel="1">
      <c r="A66" s="527" t="s">
        <v>19</v>
      </c>
      <c r="B66" s="498">
        <v>1903939</v>
      </c>
      <c r="C66" s="499">
        <f>B66+C61</f>
        <v>4199645</v>
      </c>
      <c r="D66" s="499">
        <f>C66+D61</f>
        <v>3669451</v>
      </c>
      <c r="E66" s="499">
        <f>D66+E61</f>
        <v>3137801</v>
      </c>
      <c r="F66" s="499">
        <f>E66+F61</f>
        <v>2738924</v>
      </c>
      <c r="G66" s="499">
        <f>F66+G61</f>
        <v>2366770</v>
      </c>
    </row>
    <row r="67" spans="1:7" ht="21" outlineLevel="1">
      <c r="A67" s="500" t="s">
        <v>374</v>
      </c>
      <c r="B67" s="520"/>
      <c r="C67" s="501"/>
      <c r="D67" s="501"/>
      <c r="E67" s="501"/>
      <c r="F67" s="501"/>
      <c r="G67" s="521"/>
    </row>
    <row r="68" spans="1:7" ht="12.75" outlineLevel="1">
      <c r="A68" s="528" t="s">
        <v>51</v>
      </c>
      <c r="B68" s="498"/>
      <c r="C68" s="345"/>
      <c r="D68" s="501"/>
      <c r="E68" s="501"/>
      <c r="F68" s="501"/>
      <c r="G68" s="521"/>
    </row>
    <row r="69" spans="1:7" ht="12.75" outlineLevel="1">
      <c r="A69" s="503" t="s">
        <v>343</v>
      </c>
      <c r="B69" s="504">
        <v>1903939</v>
      </c>
      <c r="C69" s="505">
        <f>C66</f>
        <v>4199645</v>
      </c>
      <c r="D69" s="505">
        <f>D66</f>
        <v>3669451</v>
      </c>
      <c r="E69" s="505">
        <f>E66</f>
        <v>3137801</v>
      </c>
      <c r="F69" s="505">
        <f>F66</f>
        <v>2738924</v>
      </c>
      <c r="G69" s="505">
        <f>G66</f>
        <v>2366770</v>
      </c>
    </row>
    <row r="70" spans="1:7" ht="12.75" outlineLevel="1">
      <c r="A70" s="298" t="s">
        <v>46</v>
      </c>
      <c r="B70" s="508">
        <f aca="true" t="shared" si="13" ref="B70:G70">IF(B66-B65&lt;0,0,B66-B65)</f>
        <v>1588754</v>
      </c>
      <c r="C70" s="508">
        <f t="shared" si="13"/>
        <v>3959643</v>
      </c>
      <c r="D70" s="508">
        <f t="shared" si="13"/>
        <v>3579449</v>
      </c>
      <c r="E70" s="508">
        <f t="shared" si="13"/>
        <v>3097799</v>
      </c>
      <c r="F70" s="508">
        <f t="shared" si="13"/>
        <v>2698922</v>
      </c>
      <c r="G70" s="509">
        <f t="shared" si="13"/>
        <v>2326768</v>
      </c>
    </row>
    <row r="71" spans="1:7" ht="13.5" outlineLevel="1" thickBot="1">
      <c r="A71" s="510" t="s">
        <v>47</v>
      </c>
      <c r="B71" s="511">
        <f aca="true" t="shared" si="14" ref="B71:G71">B70/B50</f>
        <v>3.067365055584087</v>
      </c>
      <c r="C71" s="511">
        <f t="shared" si="14"/>
        <v>7.6146980769230765</v>
      </c>
      <c r="D71" s="511">
        <f t="shared" si="14"/>
        <v>6.508089090909091</v>
      </c>
      <c r="E71" s="511">
        <f t="shared" si="14"/>
        <v>5.632361818181818</v>
      </c>
      <c r="F71" s="511">
        <f t="shared" si="14"/>
        <v>4.907130909090909</v>
      </c>
      <c r="G71" s="512">
        <f t="shared" si="14"/>
        <v>4.230487272727273</v>
      </c>
    </row>
    <row r="72" spans="1:7" ht="13.5" thickBot="1">
      <c r="A72" s="95"/>
      <c r="B72" s="513">
        <f aca="true" t="shared" si="15" ref="B72:G72">B60+B61-B62+B63</f>
        <v>0</v>
      </c>
      <c r="C72" s="513">
        <f t="shared" si="15"/>
        <v>0</v>
      </c>
      <c r="D72" s="513">
        <f t="shared" si="15"/>
        <v>0</v>
      </c>
      <c r="E72" s="513">
        <f t="shared" si="15"/>
        <v>0</v>
      </c>
      <c r="F72" s="513">
        <f t="shared" si="15"/>
        <v>0</v>
      </c>
      <c r="G72" s="513">
        <f t="shared" si="15"/>
        <v>0</v>
      </c>
    </row>
    <row r="73" spans="1:7" ht="39" collapsed="1">
      <c r="A73" s="465" t="s">
        <v>20</v>
      </c>
      <c r="B73" s="529" t="s">
        <v>16</v>
      </c>
      <c r="C73" s="529" t="s">
        <v>11</v>
      </c>
      <c r="D73" s="529" t="s">
        <v>12</v>
      </c>
      <c r="E73" s="529" t="s">
        <v>13</v>
      </c>
      <c r="F73" s="529" t="s">
        <v>14</v>
      </c>
      <c r="G73" s="530" t="s">
        <v>15</v>
      </c>
    </row>
    <row r="74" spans="1:7" ht="12.75" hidden="1" outlineLevel="1">
      <c r="A74" s="466" t="s">
        <v>313</v>
      </c>
      <c r="B74" s="514"/>
      <c r="C74" s="514"/>
      <c r="D74" s="514"/>
      <c r="E74" s="514"/>
      <c r="F74" s="514"/>
      <c r="G74" s="515"/>
    </row>
    <row r="75" spans="1:7" ht="12.75" hidden="1" outlineLevel="1">
      <c r="A75" s="469" t="s">
        <v>314</v>
      </c>
      <c r="B75" s="514"/>
      <c r="C75" s="514"/>
      <c r="D75" s="514"/>
      <c r="E75" s="514"/>
      <c r="F75" s="514"/>
      <c r="G75" s="515"/>
    </row>
    <row r="76" spans="1:7" ht="12.75" hidden="1" outlineLevel="1">
      <c r="A76" s="516" t="s">
        <v>344</v>
      </c>
      <c r="B76" s="473"/>
      <c r="C76" s="473"/>
      <c r="D76" s="473"/>
      <c r="E76" s="473"/>
      <c r="F76" s="473"/>
      <c r="G76" s="474"/>
    </row>
    <row r="77" spans="1:7" ht="12.75" hidden="1" outlineLevel="1">
      <c r="A77" s="469" t="s">
        <v>315</v>
      </c>
      <c r="B77" s="490"/>
      <c r="C77" s="345"/>
      <c r="D77" s="345"/>
      <c r="E77" s="345"/>
      <c r="F77" s="345"/>
      <c r="G77" s="491"/>
    </row>
    <row r="78" spans="1:7" ht="12.75" hidden="1" outlineLevel="1">
      <c r="A78" s="475" t="s">
        <v>317</v>
      </c>
      <c r="B78" s="476"/>
      <c r="C78" s="476"/>
      <c r="D78" s="476"/>
      <c r="E78" s="476"/>
      <c r="F78" s="476"/>
      <c r="G78" s="477"/>
    </row>
    <row r="79" spans="1:7" ht="12.75" hidden="1" outlineLevel="1">
      <c r="A79" s="524" t="s">
        <v>318</v>
      </c>
      <c r="B79" s="480"/>
      <c r="C79" s="480"/>
      <c r="D79" s="480"/>
      <c r="E79" s="480"/>
      <c r="F79" s="480"/>
      <c r="G79" s="481"/>
    </row>
    <row r="80" spans="1:7" ht="12.75" hidden="1" outlineLevel="1">
      <c r="A80" s="524" t="s">
        <v>319</v>
      </c>
      <c r="B80" s="517"/>
      <c r="C80" s="517"/>
      <c r="D80" s="517"/>
      <c r="E80" s="517"/>
      <c r="F80" s="517"/>
      <c r="G80" s="518"/>
    </row>
    <row r="81" spans="1:7" ht="12.75" hidden="1" outlineLevel="1">
      <c r="A81" s="516" t="s">
        <v>345</v>
      </c>
      <c r="B81" s="483"/>
      <c r="C81" s="484"/>
      <c r="D81" s="484"/>
      <c r="E81" s="484"/>
      <c r="F81" s="484"/>
      <c r="G81" s="485"/>
    </row>
    <row r="82" spans="1:7" ht="12.75" hidden="1" outlineLevel="1">
      <c r="A82" s="525" t="s">
        <v>9</v>
      </c>
      <c r="B82" s="487">
        <f aca="true" t="shared" si="16" ref="B82:G82">B74-B78</f>
        <v>0</v>
      </c>
      <c r="C82" s="487">
        <f t="shared" si="16"/>
        <v>0</v>
      </c>
      <c r="D82" s="487">
        <f t="shared" si="16"/>
        <v>0</v>
      </c>
      <c r="E82" s="487">
        <f t="shared" si="16"/>
        <v>0</v>
      </c>
      <c r="F82" s="487">
        <f t="shared" si="16"/>
        <v>0</v>
      </c>
      <c r="G82" s="488">
        <f t="shared" si="16"/>
        <v>0</v>
      </c>
    </row>
    <row r="83" spans="1:7" ht="12.75" hidden="1" outlineLevel="1">
      <c r="A83" s="489" t="s">
        <v>320</v>
      </c>
      <c r="B83" s="476"/>
      <c r="C83" s="476"/>
      <c r="D83" s="476"/>
      <c r="E83" s="476"/>
      <c r="F83" s="476"/>
      <c r="G83" s="477"/>
    </row>
    <row r="84" spans="1:7" ht="12.75" hidden="1" outlineLevel="1">
      <c r="A84" s="489" t="s">
        <v>3</v>
      </c>
      <c r="B84" s="487">
        <f aca="true" t="shared" si="17" ref="B84:G84">B82+B83</f>
        <v>0</v>
      </c>
      <c r="C84" s="487">
        <f t="shared" si="17"/>
        <v>0</v>
      </c>
      <c r="D84" s="487">
        <f t="shared" si="17"/>
        <v>0</v>
      </c>
      <c r="E84" s="487">
        <f t="shared" si="17"/>
        <v>0</v>
      </c>
      <c r="F84" s="487">
        <f t="shared" si="17"/>
        <v>0</v>
      </c>
      <c r="G84" s="488">
        <f t="shared" si="17"/>
        <v>0</v>
      </c>
    </row>
    <row r="85" spans="1:7" ht="26.25" customHeight="1" hidden="1" outlineLevel="1">
      <c r="A85" s="489" t="s">
        <v>321</v>
      </c>
      <c r="B85" s="476"/>
      <c r="C85" s="476"/>
      <c r="D85" s="476"/>
      <c r="E85" s="476"/>
      <c r="F85" s="476"/>
      <c r="G85" s="477"/>
    </row>
    <row r="86" spans="1:7" ht="25.5" hidden="1" outlineLevel="1">
      <c r="A86" s="298" t="s">
        <v>44</v>
      </c>
      <c r="B86" s="490"/>
      <c r="C86" s="345"/>
      <c r="D86" s="345"/>
      <c r="E86" s="345"/>
      <c r="F86" s="345"/>
      <c r="G86" s="491"/>
    </row>
    <row r="87" spans="1:7" ht="25.5" hidden="1" outlineLevel="1">
      <c r="A87" s="298" t="s">
        <v>45</v>
      </c>
      <c r="B87" s="490"/>
      <c r="C87" s="345"/>
      <c r="D87" s="345"/>
      <c r="E87" s="345"/>
      <c r="F87" s="345"/>
      <c r="G87" s="491"/>
    </row>
    <row r="88" spans="1:7" ht="12.75" hidden="1" outlineLevel="1">
      <c r="A88" s="492"/>
      <c r="B88" s="493"/>
      <c r="C88" s="493"/>
      <c r="D88" s="493"/>
      <c r="E88" s="493"/>
      <c r="F88" s="493"/>
      <c r="G88" s="494"/>
    </row>
    <row r="89" spans="1:7" ht="12.75" hidden="1" outlineLevel="1">
      <c r="A89" s="298" t="s">
        <v>7</v>
      </c>
      <c r="B89" s="476"/>
      <c r="C89" s="495">
        <f>B89+C86</f>
        <v>0</v>
      </c>
      <c r="D89" s="495">
        <f>C89+D86</f>
        <v>0</v>
      </c>
      <c r="E89" s="495">
        <f>D89+E86</f>
        <v>0</v>
      </c>
      <c r="F89" s="495">
        <f>E89+F86</f>
        <v>0</v>
      </c>
      <c r="G89" s="496">
        <f>F89+G86</f>
        <v>0</v>
      </c>
    </row>
    <row r="90" spans="1:7" ht="12.75" hidden="1" outlineLevel="1">
      <c r="A90" s="527" t="s">
        <v>19</v>
      </c>
      <c r="B90" s="498"/>
      <c r="C90" s="499">
        <f>B90+C85</f>
        <v>0</v>
      </c>
      <c r="D90" s="499">
        <f>C90+D85</f>
        <v>0</v>
      </c>
      <c r="E90" s="499">
        <f>D90+E85</f>
        <v>0</v>
      </c>
      <c r="F90" s="499">
        <f>E90+F85</f>
        <v>0</v>
      </c>
      <c r="G90" s="499">
        <f>F90+G85</f>
        <v>0</v>
      </c>
    </row>
    <row r="91" spans="1:7" ht="21" hidden="1" outlineLevel="1">
      <c r="A91" s="500" t="s">
        <v>374</v>
      </c>
      <c r="B91" s="520"/>
      <c r="C91" s="501"/>
      <c r="D91" s="501"/>
      <c r="E91" s="501"/>
      <c r="F91" s="501"/>
      <c r="G91" s="521"/>
    </row>
    <row r="92" spans="1:7" ht="12.75" hidden="1" outlineLevel="1">
      <c r="A92" s="528" t="s">
        <v>51</v>
      </c>
      <c r="B92" s="498"/>
      <c r="C92" s="345"/>
      <c r="D92" s="501"/>
      <c r="E92" s="501"/>
      <c r="F92" s="501"/>
      <c r="G92" s="521"/>
    </row>
    <row r="93" spans="1:7" ht="12.75" hidden="1" outlineLevel="1">
      <c r="A93" s="503" t="s">
        <v>343</v>
      </c>
      <c r="B93" s="504"/>
      <c r="C93" s="505"/>
      <c r="D93" s="506"/>
      <c r="E93" s="506"/>
      <c r="F93" s="506"/>
      <c r="G93" s="522"/>
    </row>
    <row r="94" spans="1:7" ht="12.75" hidden="1" outlineLevel="1">
      <c r="A94" s="298" t="s">
        <v>46</v>
      </c>
      <c r="B94" s="508">
        <f aca="true" t="shared" si="18" ref="B94:G94">IF(B90-B89&lt;0,0,B90-B89)</f>
        <v>0</v>
      </c>
      <c r="C94" s="508">
        <f t="shared" si="18"/>
        <v>0</v>
      </c>
      <c r="D94" s="508">
        <f t="shared" si="18"/>
        <v>0</v>
      </c>
      <c r="E94" s="508">
        <f t="shared" si="18"/>
        <v>0</v>
      </c>
      <c r="F94" s="508">
        <f t="shared" si="18"/>
        <v>0</v>
      </c>
      <c r="G94" s="509">
        <f t="shared" si="18"/>
        <v>0</v>
      </c>
    </row>
    <row r="95" spans="1:7" ht="13.5" hidden="1" outlineLevel="1" thickBot="1">
      <c r="A95" s="510" t="s">
        <v>47</v>
      </c>
      <c r="B95" s="511" t="e">
        <f aca="true" t="shared" si="19" ref="B95:G95">B94/B74</f>
        <v>#DIV/0!</v>
      </c>
      <c r="C95" s="511" t="e">
        <f t="shared" si="19"/>
        <v>#DIV/0!</v>
      </c>
      <c r="D95" s="511" t="e">
        <f t="shared" si="19"/>
        <v>#DIV/0!</v>
      </c>
      <c r="E95" s="511" t="e">
        <f t="shared" si="19"/>
        <v>#DIV/0!</v>
      </c>
      <c r="F95" s="511" t="e">
        <f t="shared" si="19"/>
        <v>#DIV/0!</v>
      </c>
      <c r="G95" s="512" t="e">
        <f t="shared" si="19"/>
        <v>#DIV/0!</v>
      </c>
    </row>
    <row r="96" spans="1:7" ht="13.5" thickBot="1">
      <c r="A96" s="95"/>
      <c r="B96" s="513">
        <f aca="true" t="shared" si="20" ref="B96:G96">B84+B85-B86+B87</f>
        <v>0</v>
      </c>
      <c r="C96" s="513">
        <f t="shared" si="20"/>
        <v>0</v>
      </c>
      <c r="D96" s="513">
        <f t="shared" si="20"/>
        <v>0</v>
      </c>
      <c r="E96" s="513">
        <f t="shared" si="20"/>
        <v>0</v>
      </c>
      <c r="F96" s="513">
        <f t="shared" si="20"/>
        <v>0</v>
      </c>
      <c r="G96" s="513">
        <f t="shared" si="20"/>
        <v>0</v>
      </c>
    </row>
    <row r="97" spans="1:7" ht="39" collapsed="1">
      <c r="A97" s="465" t="s">
        <v>21</v>
      </c>
      <c r="B97" s="529" t="s">
        <v>16</v>
      </c>
      <c r="C97" s="529" t="s">
        <v>11</v>
      </c>
      <c r="D97" s="529" t="s">
        <v>12</v>
      </c>
      <c r="E97" s="529" t="s">
        <v>13</v>
      </c>
      <c r="F97" s="529" t="s">
        <v>14</v>
      </c>
      <c r="G97" s="530" t="s">
        <v>15</v>
      </c>
    </row>
    <row r="98" spans="1:7" ht="12.75" hidden="1" outlineLevel="1">
      <c r="A98" s="466" t="s">
        <v>313</v>
      </c>
      <c r="B98" s="514"/>
      <c r="C98" s="514"/>
      <c r="D98" s="514"/>
      <c r="E98" s="514"/>
      <c r="F98" s="514"/>
      <c r="G98" s="515"/>
    </row>
    <row r="99" spans="1:7" ht="12.75" hidden="1" outlineLevel="1">
      <c r="A99" s="469" t="s">
        <v>314</v>
      </c>
      <c r="B99" s="514"/>
      <c r="C99" s="514"/>
      <c r="D99" s="514"/>
      <c r="E99" s="514"/>
      <c r="F99" s="514"/>
      <c r="G99" s="515"/>
    </row>
    <row r="100" spans="1:7" ht="12.75" hidden="1" outlineLevel="1">
      <c r="A100" s="516" t="s">
        <v>344</v>
      </c>
      <c r="B100" s="473"/>
      <c r="C100" s="473"/>
      <c r="D100" s="473"/>
      <c r="E100" s="473"/>
      <c r="F100" s="473"/>
      <c r="G100" s="474"/>
    </row>
    <row r="101" spans="1:7" ht="12.75" hidden="1" outlineLevel="1">
      <c r="A101" s="469" t="s">
        <v>315</v>
      </c>
      <c r="B101" s="490"/>
      <c r="C101" s="345"/>
      <c r="D101" s="345"/>
      <c r="E101" s="345"/>
      <c r="F101" s="345"/>
      <c r="G101" s="491"/>
    </row>
    <row r="102" spans="1:7" ht="12.75" hidden="1" outlineLevel="1">
      <c r="A102" s="475" t="s">
        <v>317</v>
      </c>
      <c r="B102" s="476"/>
      <c r="C102" s="476"/>
      <c r="D102" s="476"/>
      <c r="E102" s="476"/>
      <c r="F102" s="476"/>
      <c r="G102" s="477"/>
    </row>
    <row r="103" spans="1:7" ht="12.75" hidden="1" outlineLevel="1">
      <c r="A103" s="524" t="s">
        <v>318</v>
      </c>
      <c r="B103" s="480"/>
      <c r="C103" s="480"/>
      <c r="D103" s="480"/>
      <c r="E103" s="480"/>
      <c r="F103" s="480"/>
      <c r="G103" s="481"/>
    </row>
    <row r="104" spans="1:7" ht="12.75" hidden="1" outlineLevel="1">
      <c r="A104" s="524" t="s">
        <v>319</v>
      </c>
      <c r="B104" s="517"/>
      <c r="C104" s="517"/>
      <c r="D104" s="517"/>
      <c r="E104" s="517"/>
      <c r="F104" s="517"/>
      <c r="G104" s="518"/>
    </row>
    <row r="105" spans="1:7" ht="12.75" hidden="1" outlineLevel="1">
      <c r="A105" s="516" t="s">
        <v>345</v>
      </c>
      <c r="B105" s="483"/>
      <c r="C105" s="484"/>
      <c r="D105" s="484"/>
      <c r="E105" s="484"/>
      <c r="F105" s="484"/>
      <c r="G105" s="485"/>
    </row>
    <row r="106" spans="1:7" ht="24.75" customHeight="1" hidden="1" outlineLevel="1">
      <c r="A106" s="525" t="s">
        <v>9</v>
      </c>
      <c r="B106" s="487">
        <f aca="true" t="shared" si="21" ref="B106:G106">B98-B102</f>
        <v>0</v>
      </c>
      <c r="C106" s="487">
        <f t="shared" si="21"/>
        <v>0</v>
      </c>
      <c r="D106" s="487">
        <f t="shared" si="21"/>
        <v>0</v>
      </c>
      <c r="E106" s="487">
        <f t="shared" si="21"/>
        <v>0</v>
      </c>
      <c r="F106" s="487">
        <f t="shared" si="21"/>
        <v>0</v>
      </c>
      <c r="G106" s="488">
        <f t="shared" si="21"/>
        <v>0</v>
      </c>
    </row>
    <row r="107" spans="1:7" ht="12.75" hidden="1" outlineLevel="1">
      <c r="A107" s="489" t="s">
        <v>320</v>
      </c>
      <c r="B107" s="476"/>
      <c r="C107" s="476"/>
      <c r="D107" s="476"/>
      <c r="E107" s="476"/>
      <c r="F107" s="476"/>
      <c r="G107" s="477"/>
    </row>
    <row r="108" spans="1:7" ht="12.75" hidden="1" outlineLevel="1">
      <c r="A108" s="489" t="s">
        <v>3</v>
      </c>
      <c r="B108" s="487">
        <f aca="true" t="shared" si="22" ref="B108:G108">B106+B107</f>
        <v>0</v>
      </c>
      <c r="C108" s="487">
        <f t="shared" si="22"/>
        <v>0</v>
      </c>
      <c r="D108" s="487">
        <f t="shared" si="22"/>
        <v>0</v>
      </c>
      <c r="E108" s="487">
        <f t="shared" si="22"/>
        <v>0</v>
      </c>
      <c r="F108" s="487">
        <f t="shared" si="22"/>
        <v>0</v>
      </c>
      <c r="G108" s="488">
        <f t="shared" si="22"/>
        <v>0</v>
      </c>
    </row>
    <row r="109" spans="1:7" ht="12.75" hidden="1" outlineLevel="1">
      <c r="A109" s="489" t="s">
        <v>321</v>
      </c>
      <c r="B109" s="476"/>
      <c r="C109" s="476"/>
      <c r="D109" s="476"/>
      <c r="E109" s="476"/>
      <c r="F109" s="476"/>
      <c r="G109" s="477"/>
    </row>
    <row r="110" spans="1:7" ht="25.5" hidden="1" outlineLevel="1">
      <c r="A110" s="298" t="s">
        <v>44</v>
      </c>
      <c r="B110" s="490"/>
      <c r="C110" s="345"/>
      <c r="D110" s="345"/>
      <c r="E110" s="345"/>
      <c r="F110" s="345"/>
      <c r="G110" s="491"/>
    </row>
    <row r="111" spans="1:7" ht="25.5" hidden="1" outlineLevel="1">
      <c r="A111" s="298" t="s">
        <v>45</v>
      </c>
      <c r="B111" s="490"/>
      <c r="C111" s="345"/>
      <c r="D111" s="345"/>
      <c r="E111" s="345"/>
      <c r="F111" s="345"/>
      <c r="G111" s="491"/>
    </row>
    <row r="112" spans="1:7" ht="12.75" hidden="1" outlineLevel="1">
      <c r="A112" s="492"/>
      <c r="B112" s="493"/>
      <c r="C112" s="493"/>
      <c r="D112" s="493"/>
      <c r="E112" s="493"/>
      <c r="F112" s="493"/>
      <c r="G112" s="494"/>
    </row>
    <row r="113" spans="1:7" ht="12.75" hidden="1" outlineLevel="1">
      <c r="A113" s="298" t="s">
        <v>7</v>
      </c>
      <c r="B113" s="476"/>
      <c r="C113" s="495">
        <f>B113+C110</f>
        <v>0</v>
      </c>
      <c r="D113" s="495">
        <f>C113+D110</f>
        <v>0</v>
      </c>
      <c r="E113" s="495">
        <f>D113+E110</f>
        <v>0</v>
      </c>
      <c r="F113" s="495">
        <f>E113+F110</f>
        <v>0</v>
      </c>
      <c r="G113" s="496">
        <f>F113+G110</f>
        <v>0</v>
      </c>
    </row>
    <row r="114" spans="1:7" ht="12.75" hidden="1" outlineLevel="1">
      <c r="A114" s="527" t="s">
        <v>19</v>
      </c>
      <c r="B114" s="498"/>
      <c r="C114" s="499">
        <f>B114+C109</f>
        <v>0</v>
      </c>
      <c r="D114" s="499">
        <f>C114+D109</f>
        <v>0</v>
      </c>
      <c r="E114" s="499">
        <f>D114+E109</f>
        <v>0</v>
      </c>
      <c r="F114" s="499">
        <f>E114+F109</f>
        <v>0</v>
      </c>
      <c r="G114" s="499">
        <f>F114+G109</f>
        <v>0</v>
      </c>
    </row>
    <row r="115" spans="1:7" ht="21" hidden="1" outlineLevel="1">
      <c r="A115" s="500" t="s">
        <v>374</v>
      </c>
      <c r="B115" s="520"/>
      <c r="C115" s="501"/>
      <c r="D115" s="501"/>
      <c r="E115" s="501"/>
      <c r="F115" s="501"/>
      <c r="G115" s="521"/>
    </row>
    <row r="116" spans="1:7" ht="12.75" hidden="1" outlineLevel="1">
      <c r="A116" s="528" t="s">
        <v>51</v>
      </c>
      <c r="B116" s="498"/>
      <c r="C116" s="345"/>
      <c r="D116" s="501"/>
      <c r="E116" s="501"/>
      <c r="F116" s="501"/>
      <c r="G116" s="521"/>
    </row>
    <row r="117" spans="1:7" ht="12.75" hidden="1" outlineLevel="1">
      <c r="A117" s="503" t="s">
        <v>343</v>
      </c>
      <c r="B117" s="504"/>
      <c r="C117" s="505"/>
      <c r="D117" s="506"/>
      <c r="E117" s="506"/>
      <c r="F117" s="506"/>
      <c r="G117" s="522"/>
    </row>
    <row r="118" spans="1:7" ht="12.75" hidden="1" outlineLevel="1">
      <c r="A118" s="298" t="s">
        <v>46</v>
      </c>
      <c r="B118" s="508">
        <f aca="true" t="shared" si="23" ref="B118:G118">IF(B114-B113&lt;0,0,B114-B113)</f>
        <v>0</v>
      </c>
      <c r="C118" s="508">
        <f t="shared" si="23"/>
        <v>0</v>
      </c>
      <c r="D118" s="508">
        <f t="shared" si="23"/>
        <v>0</v>
      </c>
      <c r="E118" s="508">
        <f t="shared" si="23"/>
        <v>0</v>
      </c>
      <c r="F118" s="508">
        <f t="shared" si="23"/>
        <v>0</v>
      </c>
      <c r="G118" s="509">
        <f t="shared" si="23"/>
        <v>0</v>
      </c>
    </row>
    <row r="119" spans="1:7" ht="13.5" hidden="1" outlineLevel="1" thickBot="1">
      <c r="A119" s="510" t="s">
        <v>47</v>
      </c>
      <c r="B119" s="511" t="e">
        <f aca="true" t="shared" si="24" ref="B119:G119">B118/B98</f>
        <v>#DIV/0!</v>
      </c>
      <c r="C119" s="511" t="e">
        <f t="shared" si="24"/>
        <v>#DIV/0!</v>
      </c>
      <c r="D119" s="511" t="e">
        <f t="shared" si="24"/>
        <v>#DIV/0!</v>
      </c>
      <c r="E119" s="511" t="e">
        <f t="shared" si="24"/>
        <v>#DIV/0!</v>
      </c>
      <c r="F119" s="511" t="e">
        <f t="shared" si="24"/>
        <v>#DIV/0!</v>
      </c>
      <c r="G119" s="512" t="e">
        <f t="shared" si="24"/>
        <v>#DIV/0!</v>
      </c>
    </row>
    <row r="120" spans="1:7" ht="13.5" thickBot="1">
      <c r="A120" s="95"/>
      <c r="B120" s="513">
        <f aca="true" t="shared" si="25" ref="B120:G120">B108+B109-B110+B111</f>
        <v>0</v>
      </c>
      <c r="C120" s="513">
        <f t="shared" si="25"/>
        <v>0</v>
      </c>
      <c r="D120" s="513">
        <f t="shared" si="25"/>
        <v>0</v>
      </c>
      <c r="E120" s="513">
        <f t="shared" si="25"/>
        <v>0</v>
      </c>
      <c r="F120" s="513">
        <f t="shared" si="25"/>
        <v>0</v>
      </c>
      <c r="G120" s="513">
        <f t="shared" si="25"/>
        <v>0</v>
      </c>
    </row>
    <row r="121" spans="1:7" ht="39" collapsed="1">
      <c r="A121" s="465" t="s">
        <v>22</v>
      </c>
      <c r="B121" s="529" t="s">
        <v>16</v>
      </c>
      <c r="C121" s="529" t="s">
        <v>11</v>
      </c>
      <c r="D121" s="529" t="s">
        <v>12</v>
      </c>
      <c r="E121" s="529" t="s">
        <v>13</v>
      </c>
      <c r="F121" s="529" t="s">
        <v>14</v>
      </c>
      <c r="G121" s="530" t="s">
        <v>15</v>
      </c>
    </row>
    <row r="122" spans="1:7" ht="12.75" hidden="1" outlineLevel="1">
      <c r="A122" s="466" t="s">
        <v>313</v>
      </c>
      <c r="B122" s="514"/>
      <c r="C122" s="514"/>
      <c r="D122" s="514"/>
      <c r="E122" s="514"/>
      <c r="F122" s="514"/>
      <c r="G122" s="515"/>
    </row>
    <row r="123" spans="1:7" ht="12.75" hidden="1" outlineLevel="1">
      <c r="A123" s="469" t="s">
        <v>314</v>
      </c>
      <c r="B123" s="514"/>
      <c r="C123" s="514"/>
      <c r="D123" s="514"/>
      <c r="E123" s="514"/>
      <c r="F123" s="514"/>
      <c r="G123" s="515"/>
    </row>
    <row r="124" spans="1:7" ht="12.75" hidden="1" outlineLevel="1">
      <c r="A124" s="516" t="s">
        <v>344</v>
      </c>
      <c r="B124" s="473"/>
      <c r="C124" s="473"/>
      <c r="D124" s="473"/>
      <c r="E124" s="473"/>
      <c r="F124" s="473"/>
      <c r="G124" s="474"/>
    </row>
    <row r="125" spans="1:7" ht="12.75" hidden="1" outlineLevel="1">
      <c r="A125" s="469" t="s">
        <v>315</v>
      </c>
      <c r="B125" s="490"/>
      <c r="C125" s="345"/>
      <c r="D125" s="345"/>
      <c r="E125" s="345"/>
      <c r="F125" s="345"/>
      <c r="G125" s="491"/>
    </row>
    <row r="126" spans="1:7" ht="12.75" hidden="1" outlineLevel="1">
      <c r="A126" s="475" t="s">
        <v>317</v>
      </c>
      <c r="B126" s="476"/>
      <c r="C126" s="476"/>
      <c r="D126" s="476"/>
      <c r="E126" s="476"/>
      <c r="F126" s="476"/>
      <c r="G126" s="477"/>
    </row>
    <row r="127" spans="1:7" ht="26.25" customHeight="1" hidden="1" outlineLevel="1">
      <c r="A127" s="524" t="s">
        <v>318</v>
      </c>
      <c r="B127" s="480"/>
      <c r="C127" s="480"/>
      <c r="D127" s="480"/>
      <c r="E127" s="480"/>
      <c r="F127" s="480"/>
      <c r="G127" s="481"/>
    </row>
    <row r="128" spans="1:7" ht="12.75" hidden="1" outlineLevel="1">
      <c r="A128" s="524" t="s">
        <v>319</v>
      </c>
      <c r="B128" s="517"/>
      <c r="C128" s="517"/>
      <c r="D128" s="517"/>
      <c r="E128" s="517"/>
      <c r="F128" s="517"/>
      <c r="G128" s="518"/>
    </row>
    <row r="129" spans="1:7" ht="12.75" hidden="1" outlineLevel="1">
      <c r="A129" s="516" t="s">
        <v>345</v>
      </c>
      <c r="B129" s="483"/>
      <c r="C129" s="484"/>
      <c r="D129" s="484"/>
      <c r="E129" s="484"/>
      <c r="F129" s="484"/>
      <c r="G129" s="485"/>
    </row>
    <row r="130" spans="1:7" ht="12.75" hidden="1" outlineLevel="1">
      <c r="A130" s="525" t="s">
        <v>9</v>
      </c>
      <c r="B130" s="487">
        <f aca="true" t="shared" si="26" ref="B130:G130">B122-B126</f>
        <v>0</v>
      </c>
      <c r="C130" s="487">
        <f t="shared" si="26"/>
        <v>0</v>
      </c>
      <c r="D130" s="487">
        <f t="shared" si="26"/>
        <v>0</v>
      </c>
      <c r="E130" s="487">
        <f t="shared" si="26"/>
        <v>0</v>
      </c>
      <c r="F130" s="487">
        <f t="shared" si="26"/>
        <v>0</v>
      </c>
      <c r="G130" s="488">
        <f t="shared" si="26"/>
        <v>0</v>
      </c>
    </row>
    <row r="131" spans="1:7" ht="12.75" hidden="1" outlineLevel="1">
      <c r="A131" s="489" t="s">
        <v>320</v>
      </c>
      <c r="B131" s="476"/>
      <c r="C131" s="476"/>
      <c r="D131" s="476"/>
      <c r="E131" s="476"/>
      <c r="F131" s="476"/>
      <c r="G131" s="477"/>
    </row>
    <row r="132" spans="1:7" ht="12.75" hidden="1" outlineLevel="1">
      <c r="A132" s="489" t="s">
        <v>3</v>
      </c>
      <c r="B132" s="487">
        <f aca="true" t="shared" si="27" ref="B132:G132">B130+B131</f>
        <v>0</v>
      </c>
      <c r="C132" s="487">
        <f t="shared" si="27"/>
        <v>0</v>
      </c>
      <c r="D132" s="487">
        <f t="shared" si="27"/>
        <v>0</v>
      </c>
      <c r="E132" s="487">
        <f t="shared" si="27"/>
        <v>0</v>
      </c>
      <c r="F132" s="487">
        <f t="shared" si="27"/>
        <v>0</v>
      </c>
      <c r="G132" s="488">
        <f t="shared" si="27"/>
        <v>0</v>
      </c>
    </row>
    <row r="133" spans="1:7" ht="12.75" hidden="1" outlineLevel="1">
      <c r="A133" s="489" t="s">
        <v>321</v>
      </c>
      <c r="B133" s="476"/>
      <c r="C133" s="476"/>
      <c r="D133" s="476"/>
      <c r="E133" s="476"/>
      <c r="F133" s="476"/>
      <c r="G133" s="477"/>
    </row>
    <row r="134" spans="1:7" ht="25.5" hidden="1" outlineLevel="1">
      <c r="A134" s="298" t="s">
        <v>44</v>
      </c>
      <c r="B134" s="490"/>
      <c r="C134" s="345"/>
      <c r="D134" s="345"/>
      <c r="E134" s="345"/>
      <c r="F134" s="345"/>
      <c r="G134" s="491"/>
    </row>
    <row r="135" spans="1:7" ht="25.5" hidden="1" outlineLevel="1">
      <c r="A135" s="298" t="s">
        <v>45</v>
      </c>
      <c r="B135" s="490"/>
      <c r="C135" s="345"/>
      <c r="D135" s="345"/>
      <c r="E135" s="345"/>
      <c r="F135" s="345"/>
      <c r="G135" s="491"/>
    </row>
    <row r="136" spans="1:7" ht="12.75" hidden="1" outlineLevel="1">
      <c r="A136" s="492"/>
      <c r="B136" s="493"/>
      <c r="C136" s="493"/>
      <c r="D136" s="493"/>
      <c r="E136" s="493"/>
      <c r="F136" s="493"/>
      <c r="G136" s="494"/>
    </row>
    <row r="137" spans="1:7" ht="12.75" hidden="1" outlineLevel="1">
      <c r="A137" s="298" t="s">
        <v>7</v>
      </c>
      <c r="B137" s="476"/>
      <c r="C137" s="495">
        <f>B137+C134</f>
        <v>0</v>
      </c>
      <c r="D137" s="495">
        <f>C137+D134</f>
        <v>0</v>
      </c>
      <c r="E137" s="495">
        <f>D137+E134</f>
        <v>0</v>
      </c>
      <c r="F137" s="495">
        <f>E137+F134</f>
        <v>0</v>
      </c>
      <c r="G137" s="496">
        <f>F137+G134</f>
        <v>0</v>
      </c>
    </row>
    <row r="138" spans="1:7" ht="12.75" hidden="1" outlineLevel="1">
      <c r="A138" s="527" t="s">
        <v>19</v>
      </c>
      <c r="B138" s="498"/>
      <c r="C138" s="499">
        <f>B138+C133</f>
        <v>0</v>
      </c>
      <c r="D138" s="499">
        <f>C138+D133</f>
        <v>0</v>
      </c>
      <c r="E138" s="499">
        <f>D138+E133</f>
        <v>0</v>
      </c>
      <c r="F138" s="499">
        <f>E138+F133</f>
        <v>0</v>
      </c>
      <c r="G138" s="499">
        <f>F138+G133</f>
        <v>0</v>
      </c>
    </row>
    <row r="139" spans="1:7" ht="21" hidden="1" outlineLevel="1">
      <c r="A139" s="500" t="s">
        <v>374</v>
      </c>
      <c r="B139" s="520"/>
      <c r="C139" s="501"/>
      <c r="D139" s="501"/>
      <c r="E139" s="501"/>
      <c r="F139" s="501"/>
      <c r="G139" s="521"/>
    </row>
    <row r="140" spans="1:7" ht="12.75" hidden="1" outlineLevel="1">
      <c r="A140" s="528" t="s">
        <v>51</v>
      </c>
      <c r="B140" s="498"/>
      <c r="C140" s="345"/>
      <c r="D140" s="501"/>
      <c r="E140" s="501"/>
      <c r="F140" s="501"/>
      <c r="G140" s="521"/>
    </row>
    <row r="141" spans="1:7" ht="12.75" hidden="1" outlineLevel="1">
      <c r="A141" s="503" t="s">
        <v>343</v>
      </c>
      <c r="B141" s="504"/>
      <c r="C141" s="505"/>
      <c r="D141" s="506"/>
      <c r="E141" s="506"/>
      <c r="F141" s="506"/>
      <c r="G141" s="522"/>
    </row>
    <row r="142" spans="1:7" ht="12.75" hidden="1" outlineLevel="1">
      <c r="A142" s="298" t="s">
        <v>46</v>
      </c>
      <c r="B142" s="508">
        <f aca="true" t="shared" si="28" ref="B142:G142">IF(B138-B137&lt;0,0,B138-B137)</f>
        <v>0</v>
      </c>
      <c r="C142" s="508">
        <f t="shared" si="28"/>
        <v>0</v>
      </c>
      <c r="D142" s="508">
        <f t="shared" si="28"/>
        <v>0</v>
      </c>
      <c r="E142" s="508">
        <f t="shared" si="28"/>
        <v>0</v>
      </c>
      <c r="F142" s="508">
        <f t="shared" si="28"/>
        <v>0</v>
      </c>
      <c r="G142" s="509">
        <f t="shared" si="28"/>
        <v>0</v>
      </c>
    </row>
    <row r="143" spans="1:7" ht="13.5" hidden="1" outlineLevel="1" thickBot="1">
      <c r="A143" s="510" t="s">
        <v>47</v>
      </c>
      <c r="B143" s="511" t="e">
        <f aca="true" t="shared" si="29" ref="B143:G143">B142/B122</f>
        <v>#DIV/0!</v>
      </c>
      <c r="C143" s="511" t="e">
        <f t="shared" si="29"/>
        <v>#DIV/0!</v>
      </c>
      <c r="D143" s="511" t="e">
        <f t="shared" si="29"/>
        <v>#DIV/0!</v>
      </c>
      <c r="E143" s="511" t="e">
        <f t="shared" si="29"/>
        <v>#DIV/0!</v>
      </c>
      <c r="F143" s="511" t="e">
        <f t="shared" si="29"/>
        <v>#DIV/0!</v>
      </c>
      <c r="G143" s="512" t="e">
        <f t="shared" si="29"/>
        <v>#DIV/0!</v>
      </c>
    </row>
    <row r="144" spans="1:7" ht="13.5" thickBot="1">
      <c r="A144" s="95"/>
      <c r="B144" s="513">
        <f aca="true" t="shared" si="30" ref="B144:G144">B132+B133-B134+B135</f>
        <v>0</v>
      </c>
      <c r="C144" s="513">
        <f t="shared" si="30"/>
        <v>0</v>
      </c>
      <c r="D144" s="513">
        <f t="shared" si="30"/>
        <v>0</v>
      </c>
      <c r="E144" s="513">
        <f t="shared" si="30"/>
        <v>0</v>
      </c>
      <c r="F144" s="513">
        <f t="shared" si="30"/>
        <v>0</v>
      </c>
      <c r="G144" s="513">
        <f t="shared" si="30"/>
        <v>0</v>
      </c>
    </row>
    <row r="145" spans="1:7" ht="39" collapsed="1">
      <c r="A145" s="465" t="s">
        <v>23</v>
      </c>
      <c r="B145" s="529" t="s">
        <v>16</v>
      </c>
      <c r="C145" s="529" t="s">
        <v>11</v>
      </c>
      <c r="D145" s="529" t="s">
        <v>12</v>
      </c>
      <c r="E145" s="529" t="s">
        <v>13</v>
      </c>
      <c r="F145" s="529" t="s">
        <v>14</v>
      </c>
      <c r="G145" s="530" t="s">
        <v>15</v>
      </c>
    </row>
    <row r="146" spans="1:7" ht="12.75" hidden="1" outlineLevel="1">
      <c r="A146" s="466" t="s">
        <v>313</v>
      </c>
      <c r="B146" s="514"/>
      <c r="C146" s="514"/>
      <c r="D146" s="514"/>
      <c r="E146" s="514"/>
      <c r="F146" s="514"/>
      <c r="G146" s="515"/>
    </row>
    <row r="147" spans="1:7" ht="12.75" hidden="1" outlineLevel="1">
      <c r="A147" s="469" t="s">
        <v>314</v>
      </c>
      <c r="B147" s="514"/>
      <c r="C147" s="514"/>
      <c r="D147" s="514"/>
      <c r="E147" s="514"/>
      <c r="F147" s="514"/>
      <c r="G147" s="515"/>
    </row>
    <row r="148" spans="1:7" ht="15.75" customHeight="1" hidden="1" outlineLevel="1">
      <c r="A148" s="516" t="s">
        <v>344</v>
      </c>
      <c r="B148" s="473"/>
      <c r="C148" s="473"/>
      <c r="D148" s="473"/>
      <c r="E148" s="473"/>
      <c r="F148" s="473"/>
      <c r="G148" s="474"/>
    </row>
    <row r="149" spans="1:7" ht="12.75" hidden="1" outlineLevel="1">
      <c r="A149" s="469" t="s">
        <v>315</v>
      </c>
      <c r="B149" s="490"/>
      <c r="C149" s="345"/>
      <c r="D149" s="345"/>
      <c r="E149" s="345"/>
      <c r="F149" s="345"/>
      <c r="G149" s="491"/>
    </row>
    <row r="150" spans="1:7" ht="12.75" hidden="1" outlineLevel="1">
      <c r="A150" s="475" t="s">
        <v>317</v>
      </c>
      <c r="B150" s="476"/>
      <c r="C150" s="476"/>
      <c r="D150" s="476"/>
      <c r="E150" s="476"/>
      <c r="F150" s="476"/>
      <c r="G150" s="477"/>
    </row>
    <row r="151" spans="1:7" ht="12.75" hidden="1" outlineLevel="1">
      <c r="A151" s="524" t="s">
        <v>318</v>
      </c>
      <c r="B151" s="480"/>
      <c r="C151" s="480"/>
      <c r="D151" s="480"/>
      <c r="E151" s="480"/>
      <c r="F151" s="480"/>
      <c r="G151" s="481"/>
    </row>
    <row r="152" spans="1:7" ht="12.75" hidden="1" outlineLevel="1">
      <c r="A152" s="524" t="s">
        <v>319</v>
      </c>
      <c r="B152" s="517"/>
      <c r="C152" s="517"/>
      <c r="D152" s="517"/>
      <c r="E152" s="517"/>
      <c r="F152" s="517"/>
      <c r="G152" s="518"/>
    </row>
    <row r="153" spans="1:7" ht="12.75" hidden="1" outlineLevel="1">
      <c r="A153" s="516" t="s">
        <v>345</v>
      </c>
      <c r="B153" s="483"/>
      <c r="C153" s="484"/>
      <c r="D153" s="484"/>
      <c r="E153" s="484"/>
      <c r="F153" s="484"/>
      <c r="G153" s="485"/>
    </row>
    <row r="154" spans="1:7" ht="12.75" hidden="1" outlineLevel="1">
      <c r="A154" s="525" t="s">
        <v>9</v>
      </c>
      <c r="B154" s="487">
        <f aca="true" t="shared" si="31" ref="B154:G154">B146-B150</f>
        <v>0</v>
      </c>
      <c r="C154" s="487">
        <f t="shared" si="31"/>
        <v>0</v>
      </c>
      <c r="D154" s="487">
        <f t="shared" si="31"/>
        <v>0</v>
      </c>
      <c r="E154" s="487">
        <f t="shared" si="31"/>
        <v>0</v>
      </c>
      <c r="F154" s="487">
        <f t="shared" si="31"/>
        <v>0</v>
      </c>
      <c r="G154" s="488">
        <f t="shared" si="31"/>
        <v>0</v>
      </c>
    </row>
    <row r="155" spans="1:7" ht="12.75" hidden="1" outlineLevel="1">
      <c r="A155" s="489" t="s">
        <v>320</v>
      </c>
      <c r="B155" s="476"/>
      <c r="C155" s="476"/>
      <c r="D155" s="476"/>
      <c r="E155" s="476"/>
      <c r="F155" s="476"/>
      <c r="G155" s="477"/>
    </row>
    <row r="156" spans="1:7" ht="12.75" hidden="1" outlineLevel="1">
      <c r="A156" s="489" t="s">
        <v>3</v>
      </c>
      <c r="B156" s="487">
        <f aca="true" t="shared" si="32" ref="B156:G156">B154+B155</f>
        <v>0</v>
      </c>
      <c r="C156" s="487">
        <f t="shared" si="32"/>
        <v>0</v>
      </c>
      <c r="D156" s="487">
        <f t="shared" si="32"/>
        <v>0</v>
      </c>
      <c r="E156" s="487">
        <f t="shared" si="32"/>
        <v>0</v>
      </c>
      <c r="F156" s="487">
        <f t="shared" si="32"/>
        <v>0</v>
      </c>
      <c r="G156" s="488">
        <f t="shared" si="32"/>
        <v>0</v>
      </c>
    </row>
    <row r="157" spans="1:7" ht="12.75" hidden="1" outlineLevel="1">
      <c r="A157" s="489" t="s">
        <v>321</v>
      </c>
      <c r="B157" s="476"/>
      <c r="C157" s="476"/>
      <c r="D157" s="476"/>
      <c r="E157" s="476"/>
      <c r="F157" s="476"/>
      <c r="G157" s="477"/>
    </row>
    <row r="158" spans="1:7" ht="25.5" hidden="1" outlineLevel="1">
      <c r="A158" s="298" t="s">
        <v>44</v>
      </c>
      <c r="B158" s="490"/>
      <c r="C158" s="345"/>
      <c r="D158" s="345"/>
      <c r="E158" s="345"/>
      <c r="F158" s="345"/>
      <c r="G158" s="491"/>
    </row>
    <row r="159" spans="1:7" ht="25.5" hidden="1" outlineLevel="1">
      <c r="A159" s="298" t="s">
        <v>45</v>
      </c>
      <c r="B159" s="490"/>
      <c r="C159" s="345"/>
      <c r="D159" s="345"/>
      <c r="E159" s="345"/>
      <c r="F159" s="345"/>
      <c r="G159" s="491"/>
    </row>
    <row r="160" spans="1:7" ht="12.75" hidden="1" outlineLevel="1">
      <c r="A160" s="492"/>
      <c r="B160" s="493"/>
      <c r="C160" s="493"/>
      <c r="D160" s="493"/>
      <c r="E160" s="493"/>
      <c r="F160" s="493"/>
      <c r="G160" s="494"/>
    </row>
    <row r="161" spans="1:7" ht="12.75" hidden="1" outlineLevel="1">
      <c r="A161" s="298" t="s">
        <v>7</v>
      </c>
      <c r="B161" s="476"/>
      <c r="C161" s="495">
        <f>B161+C158</f>
        <v>0</v>
      </c>
      <c r="D161" s="495">
        <f>C161+D158</f>
        <v>0</v>
      </c>
      <c r="E161" s="495">
        <f>D161+E158</f>
        <v>0</v>
      </c>
      <c r="F161" s="495">
        <f>E161+F158</f>
        <v>0</v>
      </c>
      <c r="G161" s="496">
        <f>F161+G158</f>
        <v>0</v>
      </c>
    </row>
    <row r="162" spans="1:7" ht="12.75" hidden="1" outlineLevel="1">
      <c r="A162" s="527" t="s">
        <v>19</v>
      </c>
      <c r="B162" s="498"/>
      <c r="C162" s="499">
        <f>B162+C157</f>
        <v>0</v>
      </c>
      <c r="D162" s="499">
        <f>C162+D157</f>
        <v>0</v>
      </c>
      <c r="E162" s="499">
        <f>D162+E157</f>
        <v>0</v>
      </c>
      <c r="F162" s="499">
        <f>E162+F157</f>
        <v>0</v>
      </c>
      <c r="G162" s="499">
        <f>F162+G157</f>
        <v>0</v>
      </c>
    </row>
    <row r="163" spans="1:7" ht="21" hidden="1" outlineLevel="1">
      <c r="A163" s="500" t="s">
        <v>374</v>
      </c>
      <c r="B163" s="520"/>
      <c r="C163" s="501"/>
      <c r="D163" s="501"/>
      <c r="E163" s="501"/>
      <c r="F163" s="501"/>
      <c r="G163" s="521"/>
    </row>
    <row r="164" spans="1:7" ht="12.75" hidden="1" outlineLevel="1">
      <c r="A164" s="528" t="s">
        <v>51</v>
      </c>
      <c r="B164" s="498"/>
      <c r="C164" s="345"/>
      <c r="D164" s="501"/>
      <c r="E164" s="501"/>
      <c r="F164" s="501"/>
      <c r="G164" s="521"/>
    </row>
    <row r="165" spans="1:7" ht="12.75" hidden="1" outlineLevel="1">
      <c r="A165" s="503" t="s">
        <v>343</v>
      </c>
      <c r="B165" s="504"/>
      <c r="C165" s="505"/>
      <c r="D165" s="506"/>
      <c r="E165" s="506"/>
      <c r="F165" s="506"/>
      <c r="G165" s="522"/>
    </row>
    <row r="166" spans="1:7" ht="12.75" hidden="1" outlineLevel="1">
      <c r="A166" s="298" t="s">
        <v>46</v>
      </c>
      <c r="B166" s="508">
        <f aca="true" t="shared" si="33" ref="B166:G166">IF(B162-B161&lt;0,0,B162-B161)</f>
        <v>0</v>
      </c>
      <c r="C166" s="508">
        <f t="shared" si="33"/>
        <v>0</v>
      </c>
      <c r="D166" s="508">
        <f t="shared" si="33"/>
        <v>0</v>
      </c>
      <c r="E166" s="508">
        <f t="shared" si="33"/>
        <v>0</v>
      </c>
      <c r="F166" s="508">
        <f t="shared" si="33"/>
        <v>0</v>
      </c>
      <c r="G166" s="509">
        <f t="shared" si="33"/>
        <v>0</v>
      </c>
    </row>
    <row r="167" spans="1:7" ht="13.5" hidden="1" outlineLevel="1" thickBot="1">
      <c r="A167" s="510" t="s">
        <v>47</v>
      </c>
      <c r="B167" s="511" t="e">
        <f aca="true" t="shared" si="34" ref="B167:G167">B166/B146</f>
        <v>#DIV/0!</v>
      </c>
      <c r="C167" s="511" t="e">
        <f t="shared" si="34"/>
        <v>#DIV/0!</v>
      </c>
      <c r="D167" s="511" t="e">
        <f t="shared" si="34"/>
        <v>#DIV/0!</v>
      </c>
      <c r="E167" s="511" t="e">
        <f t="shared" si="34"/>
        <v>#DIV/0!</v>
      </c>
      <c r="F167" s="511" t="e">
        <f t="shared" si="34"/>
        <v>#DIV/0!</v>
      </c>
      <c r="G167" s="512" t="e">
        <f t="shared" si="34"/>
        <v>#DIV/0!</v>
      </c>
    </row>
    <row r="168" spans="1:7" ht="13.5" thickBot="1">
      <c r="A168" s="95"/>
      <c r="B168" s="513">
        <f aca="true" t="shared" si="35" ref="B168:G168">B156+B157-B158+B159</f>
        <v>0</v>
      </c>
      <c r="C168" s="513">
        <f t="shared" si="35"/>
        <v>0</v>
      </c>
      <c r="D168" s="513">
        <f t="shared" si="35"/>
        <v>0</v>
      </c>
      <c r="E168" s="513">
        <f t="shared" si="35"/>
        <v>0</v>
      </c>
      <c r="F168" s="513">
        <f t="shared" si="35"/>
        <v>0</v>
      </c>
      <c r="G168" s="513">
        <f t="shared" si="35"/>
        <v>0</v>
      </c>
    </row>
    <row r="169" spans="1:7" ht="36" customHeight="1" collapsed="1">
      <c r="A169" s="465" t="s">
        <v>24</v>
      </c>
      <c r="B169" s="529" t="s">
        <v>16</v>
      </c>
      <c r="C169" s="529" t="s">
        <v>11</v>
      </c>
      <c r="D169" s="529" t="s">
        <v>12</v>
      </c>
      <c r="E169" s="529" t="s">
        <v>13</v>
      </c>
      <c r="F169" s="529" t="s">
        <v>14</v>
      </c>
      <c r="G169" s="530" t="s">
        <v>15</v>
      </c>
    </row>
    <row r="170" spans="1:7" ht="12.75" hidden="1" outlineLevel="1">
      <c r="A170" s="466" t="s">
        <v>313</v>
      </c>
      <c r="B170" s="514"/>
      <c r="C170" s="514"/>
      <c r="D170" s="514"/>
      <c r="E170" s="514"/>
      <c r="F170" s="514"/>
      <c r="G170" s="515"/>
    </row>
    <row r="171" spans="1:7" ht="12.75" hidden="1" outlineLevel="1">
      <c r="A171" s="469" t="s">
        <v>314</v>
      </c>
      <c r="B171" s="514"/>
      <c r="C171" s="514"/>
      <c r="D171" s="514"/>
      <c r="E171" s="514"/>
      <c r="F171" s="514"/>
      <c r="G171" s="515"/>
    </row>
    <row r="172" spans="1:7" ht="12.75" hidden="1" outlineLevel="1">
      <c r="A172" s="516" t="s">
        <v>344</v>
      </c>
      <c r="B172" s="473"/>
      <c r="C172" s="473"/>
      <c r="D172" s="473"/>
      <c r="E172" s="473"/>
      <c r="F172" s="473"/>
      <c r="G172" s="474"/>
    </row>
    <row r="173" spans="1:7" ht="12.75" hidden="1" outlineLevel="1">
      <c r="A173" s="469" t="s">
        <v>315</v>
      </c>
      <c r="B173" s="490"/>
      <c r="C173" s="345"/>
      <c r="D173" s="345"/>
      <c r="E173" s="345"/>
      <c r="F173" s="345"/>
      <c r="G173" s="491"/>
    </row>
    <row r="174" spans="1:7" ht="12.75" hidden="1" outlineLevel="1">
      <c r="A174" s="475" t="s">
        <v>317</v>
      </c>
      <c r="B174" s="476"/>
      <c r="C174" s="476"/>
      <c r="D174" s="476"/>
      <c r="E174" s="476"/>
      <c r="F174" s="476"/>
      <c r="G174" s="477"/>
    </row>
    <row r="175" spans="1:7" ht="12.75" hidden="1" outlineLevel="1">
      <c r="A175" s="524" t="s">
        <v>318</v>
      </c>
      <c r="B175" s="480"/>
      <c r="C175" s="480"/>
      <c r="D175" s="480"/>
      <c r="E175" s="480"/>
      <c r="F175" s="480"/>
      <c r="G175" s="481"/>
    </row>
    <row r="176" spans="1:7" ht="12.75" hidden="1" outlineLevel="1">
      <c r="A176" s="524" t="s">
        <v>319</v>
      </c>
      <c r="B176" s="517"/>
      <c r="C176" s="517"/>
      <c r="D176" s="517"/>
      <c r="E176" s="517"/>
      <c r="F176" s="517"/>
      <c r="G176" s="518"/>
    </row>
    <row r="177" spans="1:7" ht="12.75" hidden="1" outlineLevel="1">
      <c r="A177" s="516" t="s">
        <v>345</v>
      </c>
      <c r="B177" s="483"/>
      <c r="C177" s="484"/>
      <c r="D177" s="484"/>
      <c r="E177" s="484"/>
      <c r="F177" s="484"/>
      <c r="G177" s="485"/>
    </row>
    <row r="178" spans="1:7" ht="12.75" hidden="1" outlineLevel="1">
      <c r="A178" s="525" t="s">
        <v>9</v>
      </c>
      <c r="B178" s="487">
        <f aca="true" t="shared" si="36" ref="B178:G178">B170-B174</f>
        <v>0</v>
      </c>
      <c r="C178" s="487">
        <f t="shared" si="36"/>
        <v>0</v>
      </c>
      <c r="D178" s="487">
        <f t="shared" si="36"/>
        <v>0</v>
      </c>
      <c r="E178" s="487">
        <f t="shared" si="36"/>
        <v>0</v>
      </c>
      <c r="F178" s="487">
        <f t="shared" si="36"/>
        <v>0</v>
      </c>
      <c r="G178" s="488">
        <f t="shared" si="36"/>
        <v>0</v>
      </c>
    </row>
    <row r="179" spans="1:7" ht="12.75" hidden="1" outlineLevel="1">
      <c r="A179" s="489" t="s">
        <v>320</v>
      </c>
      <c r="B179" s="476"/>
      <c r="C179" s="476"/>
      <c r="D179" s="476"/>
      <c r="E179" s="476"/>
      <c r="F179" s="476"/>
      <c r="G179" s="477"/>
    </row>
    <row r="180" spans="1:7" ht="12.75" hidden="1" outlineLevel="1">
      <c r="A180" s="489" t="s">
        <v>3</v>
      </c>
      <c r="B180" s="487">
        <f aca="true" t="shared" si="37" ref="B180:G180">B178+B179</f>
        <v>0</v>
      </c>
      <c r="C180" s="487">
        <f t="shared" si="37"/>
        <v>0</v>
      </c>
      <c r="D180" s="487">
        <f t="shared" si="37"/>
        <v>0</v>
      </c>
      <c r="E180" s="487">
        <f t="shared" si="37"/>
        <v>0</v>
      </c>
      <c r="F180" s="487">
        <f t="shared" si="37"/>
        <v>0</v>
      </c>
      <c r="G180" s="488">
        <f t="shared" si="37"/>
        <v>0</v>
      </c>
    </row>
    <row r="181" spans="1:7" ht="12.75" hidden="1" outlineLevel="1">
      <c r="A181" s="489" t="s">
        <v>321</v>
      </c>
      <c r="B181" s="476"/>
      <c r="C181" s="476"/>
      <c r="D181" s="476"/>
      <c r="E181" s="476"/>
      <c r="F181" s="476"/>
      <c r="G181" s="477"/>
    </row>
    <row r="182" spans="1:7" ht="25.5" hidden="1" outlineLevel="1">
      <c r="A182" s="298" t="s">
        <v>44</v>
      </c>
      <c r="B182" s="490"/>
      <c r="C182" s="345"/>
      <c r="D182" s="345"/>
      <c r="E182" s="345"/>
      <c r="F182" s="345"/>
      <c r="G182" s="491"/>
    </row>
    <row r="183" spans="1:7" ht="25.5" hidden="1" outlineLevel="1">
      <c r="A183" s="298" t="s">
        <v>45</v>
      </c>
      <c r="B183" s="490"/>
      <c r="C183" s="345"/>
      <c r="D183" s="345"/>
      <c r="E183" s="345"/>
      <c r="F183" s="345"/>
      <c r="G183" s="491"/>
    </row>
    <row r="184" spans="1:7" ht="12.75" hidden="1" outlineLevel="1">
      <c r="A184" s="492"/>
      <c r="B184" s="493"/>
      <c r="C184" s="493"/>
      <c r="D184" s="493"/>
      <c r="E184" s="493"/>
      <c r="F184" s="493"/>
      <c r="G184" s="494"/>
    </row>
    <row r="185" spans="1:7" ht="12.75" hidden="1" outlineLevel="1">
      <c r="A185" s="298" t="s">
        <v>7</v>
      </c>
      <c r="B185" s="476"/>
      <c r="C185" s="495">
        <f>B185+C182</f>
        <v>0</v>
      </c>
      <c r="D185" s="495">
        <f>C185+D182</f>
        <v>0</v>
      </c>
      <c r="E185" s="495">
        <f>D185+E182</f>
        <v>0</v>
      </c>
      <c r="F185" s="495">
        <f>E185+F182</f>
        <v>0</v>
      </c>
      <c r="G185" s="496">
        <f>F185+G182</f>
        <v>0</v>
      </c>
    </row>
    <row r="186" spans="1:7" ht="12.75" hidden="1" outlineLevel="1">
      <c r="A186" s="527" t="s">
        <v>19</v>
      </c>
      <c r="B186" s="498"/>
      <c r="C186" s="499">
        <f>B186+C181</f>
        <v>0</v>
      </c>
      <c r="D186" s="499">
        <f>C186+D181</f>
        <v>0</v>
      </c>
      <c r="E186" s="499">
        <f>D186+E181</f>
        <v>0</v>
      </c>
      <c r="F186" s="499">
        <f>E186+F181</f>
        <v>0</v>
      </c>
      <c r="G186" s="499">
        <f>F186+G181</f>
        <v>0</v>
      </c>
    </row>
    <row r="187" spans="1:7" ht="21" hidden="1" outlineLevel="1">
      <c r="A187" s="500" t="s">
        <v>374</v>
      </c>
      <c r="B187" s="520"/>
      <c r="C187" s="501"/>
      <c r="D187" s="501"/>
      <c r="E187" s="501"/>
      <c r="F187" s="501"/>
      <c r="G187" s="521"/>
    </row>
    <row r="188" spans="1:7" ht="12.75" hidden="1" outlineLevel="1">
      <c r="A188" s="528" t="s">
        <v>51</v>
      </c>
      <c r="B188" s="498"/>
      <c r="C188" s="345"/>
      <c r="D188" s="501"/>
      <c r="E188" s="501"/>
      <c r="F188" s="501"/>
      <c r="G188" s="521"/>
    </row>
    <row r="189" spans="1:7" ht="12.75" hidden="1" outlineLevel="1">
      <c r="A189" s="503" t="s">
        <v>343</v>
      </c>
      <c r="B189" s="504"/>
      <c r="C189" s="505"/>
      <c r="D189" s="506"/>
      <c r="E189" s="506"/>
      <c r="F189" s="506"/>
      <c r="G189" s="522"/>
    </row>
    <row r="190" spans="1:7" ht="24.75" customHeight="1" hidden="1" outlineLevel="1">
      <c r="A190" s="298" t="s">
        <v>46</v>
      </c>
      <c r="B190" s="508">
        <f aca="true" t="shared" si="38" ref="B190:G190">IF(B186-B185&lt;0,0,B186-B185)</f>
        <v>0</v>
      </c>
      <c r="C190" s="508">
        <f t="shared" si="38"/>
        <v>0</v>
      </c>
      <c r="D190" s="508">
        <f t="shared" si="38"/>
        <v>0</v>
      </c>
      <c r="E190" s="508">
        <f t="shared" si="38"/>
        <v>0</v>
      </c>
      <c r="F190" s="508">
        <f t="shared" si="38"/>
        <v>0</v>
      </c>
      <c r="G190" s="509">
        <f t="shared" si="38"/>
        <v>0</v>
      </c>
    </row>
    <row r="191" spans="1:7" ht="13.5" hidden="1" outlineLevel="1" thickBot="1">
      <c r="A191" s="510" t="s">
        <v>47</v>
      </c>
      <c r="B191" s="511" t="e">
        <f aca="true" t="shared" si="39" ref="B191:G191">B190/B170</f>
        <v>#DIV/0!</v>
      </c>
      <c r="C191" s="511" t="e">
        <f t="shared" si="39"/>
        <v>#DIV/0!</v>
      </c>
      <c r="D191" s="511" t="e">
        <f t="shared" si="39"/>
        <v>#DIV/0!</v>
      </c>
      <c r="E191" s="511" t="e">
        <f t="shared" si="39"/>
        <v>#DIV/0!</v>
      </c>
      <c r="F191" s="511" t="e">
        <f t="shared" si="39"/>
        <v>#DIV/0!</v>
      </c>
      <c r="G191" s="512" t="e">
        <f t="shared" si="39"/>
        <v>#DIV/0!</v>
      </c>
    </row>
    <row r="192" spans="1:7" ht="13.5" thickBot="1">
      <c r="A192" s="95"/>
      <c r="B192" s="513">
        <f aca="true" t="shared" si="40" ref="B192:G192">B180+B181-B182+B183</f>
        <v>0</v>
      </c>
      <c r="C192" s="513">
        <f t="shared" si="40"/>
        <v>0</v>
      </c>
      <c r="D192" s="513">
        <f t="shared" si="40"/>
        <v>0</v>
      </c>
      <c r="E192" s="513">
        <f t="shared" si="40"/>
        <v>0</v>
      </c>
      <c r="F192" s="513">
        <f t="shared" si="40"/>
        <v>0</v>
      </c>
      <c r="G192" s="513">
        <f t="shared" si="40"/>
        <v>0</v>
      </c>
    </row>
    <row r="193" spans="1:7" ht="39" collapsed="1">
      <c r="A193" s="465" t="s">
        <v>25</v>
      </c>
      <c r="B193" s="529" t="s">
        <v>16</v>
      </c>
      <c r="C193" s="529" t="s">
        <v>11</v>
      </c>
      <c r="D193" s="529" t="s">
        <v>12</v>
      </c>
      <c r="E193" s="529" t="s">
        <v>13</v>
      </c>
      <c r="F193" s="529" t="s">
        <v>14</v>
      </c>
      <c r="G193" s="530" t="s">
        <v>15</v>
      </c>
    </row>
    <row r="194" spans="1:7" ht="12.75" hidden="1" outlineLevel="1">
      <c r="A194" s="466" t="s">
        <v>313</v>
      </c>
      <c r="B194" s="514"/>
      <c r="C194" s="514"/>
      <c r="D194" s="514"/>
      <c r="E194" s="514"/>
      <c r="F194" s="514"/>
      <c r="G194" s="515"/>
    </row>
    <row r="195" spans="1:7" ht="12.75" hidden="1" outlineLevel="1">
      <c r="A195" s="469" t="s">
        <v>314</v>
      </c>
      <c r="B195" s="514"/>
      <c r="C195" s="514"/>
      <c r="D195" s="514"/>
      <c r="E195" s="514"/>
      <c r="F195" s="514"/>
      <c r="G195" s="515"/>
    </row>
    <row r="196" spans="1:7" ht="12.75" hidden="1" outlineLevel="1">
      <c r="A196" s="516" t="s">
        <v>344</v>
      </c>
      <c r="B196" s="473"/>
      <c r="C196" s="473"/>
      <c r="D196" s="473"/>
      <c r="E196" s="473"/>
      <c r="F196" s="473"/>
      <c r="G196" s="474"/>
    </row>
    <row r="197" spans="1:7" ht="12.75" hidden="1" outlineLevel="1">
      <c r="A197" s="469" t="s">
        <v>315</v>
      </c>
      <c r="B197" s="490"/>
      <c r="C197" s="345"/>
      <c r="D197" s="345"/>
      <c r="E197" s="345"/>
      <c r="F197" s="345"/>
      <c r="G197" s="491"/>
    </row>
    <row r="198" spans="1:7" ht="12.75" hidden="1" outlineLevel="1">
      <c r="A198" s="475" t="s">
        <v>317</v>
      </c>
      <c r="B198" s="476"/>
      <c r="C198" s="476"/>
      <c r="D198" s="476"/>
      <c r="E198" s="476"/>
      <c r="F198" s="476"/>
      <c r="G198" s="477"/>
    </row>
    <row r="199" spans="1:7" ht="12.75" hidden="1" outlineLevel="1">
      <c r="A199" s="524" t="s">
        <v>318</v>
      </c>
      <c r="B199" s="480"/>
      <c r="C199" s="480"/>
      <c r="D199" s="480"/>
      <c r="E199" s="480"/>
      <c r="F199" s="480"/>
      <c r="G199" s="481"/>
    </row>
    <row r="200" spans="1:7" ht="12.75" hidden="1" outlineLevel="1">
      <c r="A200" s="524" t="s">
        <v>319</v>
      </c>
      <c r="B200" s="517"/>
      <c r="C200" s="517"/>
      <c r="D200" s="517"/>
      <c r="E200" s="517"/>
      <c r="F200" s="517"/>
      <c r="G200" s="518"/>
    </row>
    <row r="201" spans="1:7" ht="12.75" hidden="1" outlineLevel="1">
      <c r="A201" s="516" t="s">
        <v>345</v>
      </c>
      <c r="B201" s="483"/>
      <c r="C201" s="484"/>
      <c r="D201" s="484"/>
      <c r="E201" s="484"/>
      <c r="F201" s="484"/>
      <c r="G201" s="485"/>
    </row>
    <row r="202" spans="1:7" ht="12.75" hidden="1" outlineLevel="1">
      <c r="A202" s="525" t="s">
        <v>9</v>
      </c>
      <c r="B202" s="487">
        <f aca="true" t="shared" si="41" ref="B202:G202">B194-B198</f>
        <v>0</v>
      </c>
      <c r="C202" s="487">
        <f t="shared" si="41"/>
        <v>0</v>
      </c>
      <c r="D202" s="487">
        <f t="shared" si="41"/>
        <v>0</v>
      </c>
      <c r="E202" s="487">
        <f t="shared" si="41"/>
        <v>0</v>
      </c>
      <c r="F202" s="487">
        <f t="shared" si="41"/>
        <v>0</v>
      </c>
      <c r="G202" s="488">
        <f t="shared" si="41"/>
        <v>0</v>
      </c>
    </row>
    <row r="203" spans="1:7" ht="12.75" hidden="1" outlineLevel="1">
      <c r="A203" s="489" t="s">
        <v>320</v>
      </c>
      <c r="B203" s="476"/>
      <c r="C203" s="476"/>
      <c r="D203" s="476"/>
      <c r="E203" s="476"/>
      <c r="F203" s="476"/>
      <c r="G203" s="477"/>
    </row>
    <row r="204" spans="1:7" ht="12.75" hidden="1" outlineLevel="1">
      <c r="A204" s="489" t="s">
        <v>3</v>
      </c>
      <c r="B204" s="487">
        <f aca="true" t="shared" si="42" ref="B204:G204">B202+B203</f>
        <v>0</v>
      </c>
      <c r="C204" s="487">
        <f t="shared" si="42"/>
        <v>0</v>
      </c>
      <c r="D204" s="487">
        <f t="shared" si="42"/>
        <v>0</v>
      </c>
      <c r="E204" s="487">
        <f t="shared" si="42"/>
        <v>0</v>
      </c>
      <c r="F204" s="487">
        <f t="shared" si="42"/>
        <v>0</v>
      </c>
      <c r="G204" s="488">
        <f t="shared" si="42"/>
        <v>0</v>
      </c>
    </row>
    <row r="205" spans="1:7" ht="12.75" hidden="1" outlineLevel="1">
      <c r="A205" s="489" t="s">
        <v>321</v>
      </c>
      <c r="B205" s="476"/>
      <c r="C205" s="476"/>
      <c r="D205" s="476"/>
      <c r="E205" s="476"/>
      <c r="F205" s="476"/>
      <c r="G205" s="477"/>
    </row>
    <row r="206" spans="1:7" ht="25.5" hidden="1" outlineLevel="1">
      <c r="A206" s="298" t="s">
        <v>44</v>
      </c>
      <c r="B206" s="490"/>
      <c r="C206" s="345"/>
      <c r="D206" s="345"/>
      <c r="E206" s="345"/>
      <c r="F206" s="345"/>
      <c r="G206" s="491"/>
    </row>
    <row r="207" spans="1:7" ht="25.5" hidden="1" outlineLevel="1">
      <c r="A207" s="298" t="s">
        <v>45</v>
      </c>
      <c r="B207" s="490"/>
      <c r="C207" s="345"/>
      <c r="D207" s="345"/>
      <c r="E207" s="345"/>
      <c r="F207" s="345"/>
      <c r="G207" s="491"/>
    </row>
    <row r="208" spans="1:7" ht="12.75" hidden="1" outlineLevel="1">
      <c r="A208" s="492"/>
      <c r="B208" s="493"/>
      <c r="C208" s="493"/>
      <c r="D208" s="493"/>
      <c r="E208" s="493"/>
      <c r="F208" s="493"/>
      <c r="G208" s="494"/>
    </row>
    <row r="209" spans="1:7" ht="12.75" hidden="1" outlineLevel="1">
      <c r="A209" s="298" t="s">
        <v>7</v>
      </c>
      <c r="B209" s="476"/>
      <c r="C209" s="495">
        <f>B209+C206</f>
        <v>0</v>
      </c>
      <c r="D209" s="495">
        <f>C209+D206</f>
        <v>0</v>
      </c>
      <c r="E209" s="495">
        <f>D209+E206</f>
        <v>0</v>
      </c>
      <c r="F209" s="495">
        <f>E209+F206</f>
        <v>0</v>
      </c>
      <c r="G209" s="496">
        <f>F209+G206</f>
        <v>0</v>
      </c>
    </row>
    <row r="210" spans="1:7" ht="12.75" hidden="1" outlineLevel="1">
      <c r="A210" s="527" t="s">
        <v>19</v>
      </c>
      <c r="B210" s="498"/>
      <c r="C210" s="499">
        <f>B210+C205</f>
        <v>0</v>
      </c>
      <c r="D210" s="499">
        <f>C210+D205</f>
        <v>0</v>
      </c>
      <c r="E210" s="499">
        <f>D210+E205</f>
        <v>0</v>
      </c>
      <c r="F210" s="499">
        <f>E210+F205</f>
        <v>0</v>
      </c>
      <c r="G210" s="499">
        <f>F210+G205</f>
        <v>0</v>
      </c>
    </row>
    <row r="211" spans="1:7" ht="24.75" customHeight="1" hidden="1" outlineLevel="1">
      <c r="A211" s="500" t="s">
        <v>374</v>
      </c>
      <c r="B211" s="520"/>
      <c r="C211" s="501"/>
      <c r="D211" s="501"/>
      <c r="E211" s="501"/>
      <c r="F211" s="501"/>
      <c r="G211" s="521"/>
    </row>
    <row r="212" spans="1:7" ht="12.75" hidden="1" outlineLevel="1">
      <c r="A212" s="528" t="s">
        <v>51</v>
      </c>
      <c r="B212" s="498"/>
      <c r="C212" s="345"/>
      <c r="D212" s="501"/>
      <c r="E212" s="501"/>
      <c r="F212" s="501"/>
      <c r="G212" s="521"/>
    </row>
    <row r="213" spans="1:7" ht="12.75" hidden="1" outlineLevel="1">
      <c r="A213" s="503" t="s">
        <v>343</v>
      </c>
      <c r="B213" s="504"/>
      <c r="C213" s="505"/>
      <c r="D213" s="506"/>
      <c r="E213" s="506"/>
      <c r="F213" s="506"/>
      <c r="G213" s="522"/>
    </row>
    <row r="214" spans="1:7" ht="12.75" hidden="1" outlineLevel="1">
      <c r="A214" s="298" t="s">
        <v>46</v>
      </c>
      <c r="B214" s="508">
        <f aca="true" t="shared" si="43" ref="B214:G214">IF(B210-B209&lt;0,0,B210-B209)</f>
        <v>0</v>
      </c>
      <c r="C214" s="508">
        <f t="shared" si="43"/>
        <v>0</v>
      </c>
      <c r="D214" s="508">
        <f t="shared" si="43"/>
        <v>0</v>
      </c>
      <c r="E214" s="508">
        <f t="shared" si="43"/>
        <v>0</v>
      </c>
      <c r="F214" s="508">
        <f t="shared" si="43"/>
        <v>0</v>
      </c>
      <c r="G214" s="509">
        <f t="shared" si="43"/>
        <v>0</v>
      </c>
    </row>
    <row r="215" spans="1:7" ht="13.5" hidden="1" outlineLevel="1" thickBot="1">
      <c r="A215" s="510" t="s">
        <v>47</v>
      </c>
      <c r="B215" s="511" t="e">
        <f aca="true" t="shared" si="44" ref="B215:G215">B214/B194</f>
        <v>#DIV/0!</v>
      </c>
      <c r="C215" s="511" t="e">
        <f t="shared" si="44"/>
        <v>#DIV/0!</v>
      </c>
      <c r="D215" s="511" t="e">
        <f t="shared" si="44"/>
        <v>#DIV/0!</v>
      </c>
      <c r="E215" s="511" t="e">
        <f t="shared" si="44"/>
        <v>#DIV/0!</v>
      </c>
      <c r="F215" s="511" t="e">
        <f t="shared" si="44"/>
        <v>#DIV/0!</v>
      </c>
      <c r="G215" s="512" t="e">
        <f t="shared" si="44"/>
        <v>#DIV/0!</v>
      </c>
    </row>
    <row r="216" spans="1:7" ht="13.5" thickBot="1">
      <c r="A216" s="95"/>
      <c r="B216" s="513">
        <f aca="true" t="shared" si="45" ref="B216:G216">B204+B205-B206+B207</f>
        <v>0</v>
      </c>
      <c r="C216" s="513">
        <f t="shared" si="45"/>
        <v>0</v>
      </c>
      <c r="D216" s="513">
        <f t="shared" si="45"/>
        <v>0</v>
      </c>
      <c r="E216" s="513">
        <f t="shared" si="45"/>
        <v>0</v>
      </c>
      <c r="F216" s="513">
        <f t="shared" si="45"/>
        <v>0</v>
      </c>
      <c r="G216" s="513">
        <f t="shared" si="45"/>
        <v>0</v>
      </c>
    </row>
    <row r="217" spans="1:7" ht="39" collapsed="1">
      <c r="A217" s="465" t="s">
        <v>26</v>
      </c>
      <c r="B217" s="529" t="s">
        <v>16</v>
      </c>
      <c r="C217" s="529" t="s">
        <v>11</v>
      </c>
      <c r="D217" s="529" t="s">
        <v>12</v>
      </c>
      <c r="E217" s="529" t="s">
        <v>13</v>
      </c>
      <c r="F217" s="529" t="s">
        <v>14</v>
      </c>
      <c r="G217" s="530" t="s">
        <v>15</v>
      </c>
    </row>
    <row r="218" spans="1:7" ht="12.75" hidden="1" outlineLevel="1">
      <c r="A218" s="466" t="s">
        <v>313</v>
      </c>
      <c r="B218" s="514"/>
      <c r="C218" s="514"/>
      <c r="D218" s="514"/>
      <c r="E218" s="514"/>
      <c r="F218" s="514"/>
      <c r="G218" s="515"/>
    </row>
    <row r="219" spans="1:7" ht="12.75" hidden="1" outlineLevel="1">
      <c r="A219" s="469" t="s">
        <v>314</v>
      </c>
      <c r="B219" s="514"/>
      <c r="C219" s="514"/>
      <c r="D219" s="514"/>
      <c r="E219" s="514"/>
      <c r="F219" s="514"/>
      <c r="G219" s="515"/>
    </row>
    <row r="220" spans="1:7" ht="12.75" hidden="1" outlineLevel="1">
      <c r="A220" s="516" t="s">
        <v>344</v>
      </c>
      <c r="B220" s="473"/>
      <c r="C220" s="473"/>
      <c r="D220" s="473"/>
      <c r="E220" s="473"/>
      <c r="F220" s="473"/>
      <c r="G220" s="474"/>
    </row>
    <row r="221" spans="1:7" ht="12.75" hidden="1" outlineLevel="1">
      <c r="A221" s="469" t="s">
        <v>315</v>
      </c>
      <c r="B221" s="490"/>
      <c r="C221" s="345"/>
      <c r="D221" s="345"/>
      <c r="E221" s="345"/>
      <c r="F221" s="345"/>
      <c r="G221" s="491"/>
    </row>
    <row r="222" spans="1:7" ht="12.75" hidden="1" outlineLevel="1">
      <c r="A222" s="475" t="s">
        <v>317</v>
      </c>
      <c r="B222" s="476"/>
      <c r="C222" s="476"/>
      <c r="D222" s="476"/>
      <c r="E222" s="476"/>
      <c r="F222" s="476"/>
      <c r="G222" s="477"/>
    </row>
    <row r="223" spans="1:7" ht="12.75" hidden="1" outlineLevel="1">
      <c r="A223" s="524" t="s">
        <v>318</v>
      </c>
      <c r="B223" s="480"/>
      <c r="C223" s="480"/>
      <c r="D223" s="480"/>
      <c r="E223" s="480"/>
      <c r="F223" s="480"/>
      <c r="G223" s="481"/>
    </row>
    <row r="224" spans="1:7" ht="12.75" hidden="1" outlineLevel="1">
      <c r="A224" s="524" t="s">
        <v>319</v>
      </c>
      <c r="B224" s="517"/>
      <c r="C224" s="517"/>
      <c r="D224" s="517"/>
      <c r="E224" s="517"/>
      <c r="F224" s="517"/>
      <c r="G224" s="518"/>
    </row>
    <row r="225" spans="1:7" ht="12.75" hidden="1" outlineLevel="1">
      <c r="A225" s="516" t="s">
        <v>345</v>
      </c>
      <c r="B225" s="483"/>
      <c r="C225" s="484"/>
      <c r="D225" s="484"/>
      <c r="E225" s="484"/>
      <c r="F225" s="484"/>
      <c r="G225" s="485"/>
    </row>
    <row r="226" spans="1:7" ht="12.75" hidden="1" outlineLevel="1">
      <c r="A226" s="525" t="s">
        <v>9</v>
      </c>
      <c r="B226" s="487">
        <f aca="true" t="shared" si="46" ref="B226:G226">B218-B222</f>
        <v>0</v>
      </c>
      <c r="C226" s="487">
        <f t="shared" si="46"/>
        <v>0</v>
      </c>
      <c r="D226" s="487">
        <f t="shared" si="46"/>
        <v>0</v>
      </c>
      <c r="E226" s="487">
        <f t="shared" si="46"/>
        <v>0</v>
      </c>
      <c r="F226" s="487">
        <f t="shared" si="46"/>
        <v>0</v>
      </c>
      <c r="G226" s="488">
        <f t="shared" si="46"/>
        <v>0</v>
      </c>
    </row>
    <row r="227" spans="1:7" ht="12.75" hidden="1" outlineLevel="1">
      <c r="A227" s="489" t="s">
        <v>320</v>
      </c>
      <c r="B227" s="476"/>
      <c r="C227" s="476"/>
      <c r="D227" s="476"/>
      <c r="E227" s="476"/>
      <c r="F227" s="476"/>
      <c r="G227" s="477"/>
    </row>
    <row r="228" spans="1:7" ht="12.75" hidden="1" outlineLevel="1">
      <c r="A228" s="489" t="s">
        <v>3</v>
      </c>
      <c r="B228" s="487">
        <f aca="true" t="shared" si="47" ref="B228:G228">B226+B227</f>
        <v>0</v>
      </c>
      <c r="C228" s="487">
        <f t="shared" si="47"/>
        <v>0</v>
      </c>
      <c r="D228" s="487">
        <f t="shared" si="47"/>
        <v>0</v>
      </c>
      <c r="E228" s="487">
        <f t="shared" si="47"/>
        <v>0</v>
      </c>
      <c r="F228" s="487">
        <f t="shared" si="47"/>
        <v>0</v>
      </c>
      <c r="G228" s="488">
        <f t="shared" si="47"/>
        <v>0</v>
      </c>
    </row>
    <row r="229" spans="1:7" ht="12.75" hidden="1" outlineLevel="1">
      <c r="A229" s="489" t="s">
        <v>321</v>
      </c>
      <c r="B229" s="476"/>
      <c r="C229" s="476"/>
      <c r="D229" s="476"/>
      <c r="E229" s="476"/>
      <c r="F229" s="476"/>
      <c r="G229" s="477"/>
    </row>
    <row r="230" spans="1:7" ht="25.5" hidden="1" outlineLevel="1">
      <c r="A230" s="298" t="s">
        <v>44</v>
      </c>
      <c r="B230" s="490"/>
      <c r="C230" s="345"/>
      <c r="D230" s="345"/>
      <c r="E230" s="345"/>
      <c r="F230" s="345"/>
      <c r="G230" s="491"/>
    </row>
    <row r="231" spans="1:7" ht="25.5" hidden="1" outlineLevel="1">
      <c r="A231" s="298" t="s">
        <v>45</v>
      </c>
      <c r="B231" s="490"/>
      <c r="C231" s="345"/>
      <c r="D231" s="345"/>
      <c r="E231" s="345"/>
      <c r="F231" s="345"/>
      <c r="G231" s="491"/>
    </row>
    <row r="232" spans="1:7" ht="12.75" hidden="1" outlineLevel="1">
      <c r="A232" s="492"/>
      <c r="B232" s="493"/>
      <c r="C232" s="493"/>
      <c r="D232" s="493"/>
      <c r="E232" s="493"/>
      <c r="F232" s="493"/>
      <c r="G232" s="494"/>
    </row>
    <row r="233" spans="1:7" ht="12.75" hidden="1" outlineLevel="1">
      <c r="A233" s="298" t="s">
        <v>7</v>
      </c>
      <c r="B233" s="476"/>
      <c r="C233" s="495">
        <f>B233+C230</f>
        <v>0</v>
      </c>
      <c r="D233" s="495">
        <f>C233+D230</f>
        <v>0</v>
      </c>
      <c r="E233" s="495">
        <f>D233+E230</f>
        <v>0</v>
      </c>
      <c r="F233" s="495">
        <f>E233+F230</f>
        <v>0</v>
      </c>
      <c r="G233" s="496">
        <f>F233+G230</f>
        <v>0</v>
      </c>
    </row>
    <row r="234" spans="1:7" ht="12.75" hidden="1" outlineLevel="1">
      <c r="A234" s="527" t="s">
        <v>19</v>
      </c>
      <c r="B234" s="498"/>
      <c r="C234" s="499">
        <f>B234+C229</f>
        <v>0</v>
      </c>
      <c r="D234" s="499">
        <f>C234+D229</f>
        <v>0</v>
      </c>
      <c r="E234" s="499">
        <f>D234+E229</f>
        <v>0</v>
      </c>
      <c r="F234" s="499">
        <f>E234+F229</f>
        <v>0</v>
      </c>
      <c r="G234" s="499">
        <f>F234+G229</f>
        <v>0</v>
      </c>
    </row>
    <row r="235" spans="1:7" ht="21" hidden="1" outlineLevel="1">
      <c r="A235" s="500" t="s">
        <v>374</v>
      </c>
      <c r="B235" s="520"/>
      <c r="C235" s="501"/>
      <c r="D235" s="501"/>
      <c r="E235" s="501"/>
      <c r="F235" s="501"/>
      <c r="G235" s="521"/>
    </row>
    <row r="236" spans="1:7" ht="12.75" hidden="1" outlineLevel="1">
      <c r="A236" s="528" t="s">
        <v>51</v>
      </c>
      <c r="B236" s="498"/>
      <c r="C236" s="345"/>
      <c r="D236" s="501"/>
      <c r="E236" s="501"/>
      <c r="F236" s="501"/>
      <c r="G236" s="521"/>
    </row>
    <row r="237" spans="1:7" ht="12.75" hidden="1" outlineLevel="1">
      <c r="A237" s="503" t="s">
        <v>343</v>
      </c>
      <c r="B237" s="504"/>
      <c r="C237" s="505"/>
      <c r="D237" s="506"/>
      <c r="E237" s="506"/>
      <c r="F237" s="506"/>
      <c r="G237" s="522"/>
    </row>
    <row r="238" spans="1:7" ht="12.75" hidden="1" outlineLevel="1">
      <c r="A238" s="298" t="s">
        <v>46</v>
      </c>
      <c r="B238" s="508">
        <f aca="true" t="shared" si="48" ref="B238:G238">IF(B234-B233&lt;0,0,B234-B233)</f>
        <v>0</v>
      </c>
      <c r="C238" s="508">
        <f t="shared" si="48"/>
        <v>0</v>
      </c>
      <c r="D238" s="508">
        <f t="shared" si="48"/>
        <v>0</v>
      </c>
      <c r="E238" s="508">
        <f t="shared" si="48"/>
        <v>0</v>
      </c>
      <c r="F238" s="508">
        <f t="shared" si="48"/>
        <v>0</v>
      </c>
      <c r="G238" s="509">
        <f t="shared" si="48"/>
        <v>0</v>
      </c>
    </row>
    <row r="239" spans="1:7" ht="13.5" hidden="1" outlineLevel="1" thickBot="1">
      <c r="A239" s="510" t="s">
        <v>47</v>
      </c>
      <c r="B239" s="511" t="e">
        <f aca="true" t="shared" si="49" ref="B239:G239">B238/B218</f>
        <v>#DIV/0!</v>
      </c>
      <c r="C239" s="511" t="e">
        <f t="shared" si="49"/>
        <v>#DIV/0!</v>
      </c>
      <c r="D239" s="511" t="e">
        <f t="shared" si="49"/>
        <v>#DIV/0!</v>
      </c>
      <c r="E239" s="511" t="e">
        <f t="shared" si="49"/>
        <v>#DIV/0!</v>
      </c>
      <c r="F239" s="511" t="e">
        <f t="shared" si="49"/>
        <v>#DIV/0!</v>
      </c>
      <c r="G239" s="512" t="e">
        <f t="shared" si="49"/>
        <v>#DIV/0!</v>
      </c>
    </row>
    <row r="240" spans="1:7" ht="13.5" thickBot="1">
      <c r="A240" s="95"/>
      <c r="B240" s="513">
        <f aca="true" t="shared" si="50" ref="B240:G240">B228+B229-B230+B231</f>
        <v>0</v>
      </c>
      <c r="C240" s="513">
        <f t="shared" si="50"/>
        <v>0</v>
      </c>
      <c r="D240" s="513">
        <f t="shared" si="50"/>
        <v>0</v>
      </c>
      <c r="E240" s="513">
        <f t="shared" si="50"/>
        <v>0</v>
      </c>
      <c r="F240" s="513">
        <f t="shared" si="50"/>
        <v>0</v>
      </c>
      <c r="G240" s="513">
        <f t="shared" si="50"/>
        <v>0</v>
      </c>
    </row>
    <row r="241" spans="1:7" ht="26.25" thickBot="1">
      <c r="A241" s="465" t="s">
        <v>323</v>
      </c>
      <c r="B241" s="291" t="s">
        <v>457</v>
      </c>
      <c r="C241" s="291" t="s">
        <v>458</v>
      </c>
      <c r="D241" s="291" t="s">
        <v>428</v>
      </c>
      <c r="E241" s="291" t="s">
        <v>441</v>
      </c>
      <c r="F241" s="291" t="s">
        <v>454</v>
      </c>
      <c r="G241" s="291" t="s">
        <v>459</v>
      </c>
    </row>
    <row r="242" spans="1:8" ht="12.75">
      <c r="A242" s="466" t="s">
        <v>313</v>
      </c>
      <c r="B242" s="531">
        <f aca="true" t="shared" si="51" ref="B242:G242">B2+B26+B50+B74+B98+B122+B146+B170+B194+B218-B29-B53-B77-B101-B125-B149-B173-B197-B221</f>
        <v>2930458</v>
      </c>
      <c r="C242" s="531">
        <f t="shared" si="51"/>
        <v>2961000</v>
      </c>
      <c r="D242" s="531">
        <f t="shared" si="51"/>
        <v>3272000</v>
      </c>
      <c r="E242" s="531">
        <f t="shared" si="51"/>
        <v>3491000</v>
      </c>
      <c r="F242" s="531">
        <f t="shared" si="51"/>
        <v>3710000</v>
      </c>
      <c r="G242" s="531">
        <f t="shared" si="51"/>
        <v>3899000</v>
      </c>
      <c r="H242" s="100">
        <f>+B2+B26+B50</f>
        <v>2941801</v>
      </c>
    </row>
    <row r="243" spans="1:7" ht="12.75">
      <c r="A243" s="469" t="s">
        <v>314</v>
      </c>
      <c r="B243" s="532">
        <f aca="true" t="shared" si="52" ref="B243:G244">B3+B27+B51+B75+B99+B123+B147+B171+B195+B219</f>
        <v>2330254</v>
      </c>
      <c r="C243" s="532">
        <f t="shared" si="52"/>
        <v>2400000</v>
      </c>
      <c r="D243" s="532">
        <f t="shared" si="52"/>
        <v>2605000</v>
      </c>
      <c r="E243" s="532">
        <f t="shared" si="52"/>
        <v>2805000</v>
      </c>
      <c r="F243" s="532">
        <f t="shared" si="52"/>
        <v>3005000</v>
      </c>
      <c r="G243" s="533">
        <f t="shared" si="52"/>
        <v>3205000</v>
      </c>
    </row>
    <row r="244" spans="1:7" ht="12.75">
      <c r="A244" s="534" t="s">
        <v>344</v>
      </c>
      <c r="B244" s="535">
        <f t="shared" si="52"/>
        <v>0</v>
      </c>
      <c r="C244" s="535">
        <f t="shared" si="52"/>
        <v>0</v>
      </c>
      <c r="D244" s="535">
        <f t="shared" si="52"/>
        <v>0</v>
      </c>
      <c r="E244" s="535">
        <f t="shared" si="52"/>
        <v>0</v>
      </c>
      <c r="F244" s="535">
        <f t="shared" si="52"/>
        <v>0</v>
      </c>
      <c r="G244" s="536">
        <f t="shared" si="52"/>
        <v>0</v>
      </c>
    </row>
    <row r="245" spans="1:7" ht="12.75">
      <c r="A245" s="475" t="s">
        <v>317</v>
      </c>
      <c r="B245" s="531">
        <f aca="true" t="shared" si="53" ref="B245:G245">B6+B30+B54+B78+B102+B126+B150+B174+B198+B222-B5-B32-B56-B80-B104-B128-B152-B176-B200-B224</f>
        <v>2476374</v>
      </c>
      <c r="C245" s="531">
        <f t="shared" si="53"/>
        <v>2678000</v>
      </c>
      <c r="D245" s="531">
        <f t="shared" si="53"/>
        <v>2987000</v>
      </c>
      <c r="E245" s="531">
        <f t="shared" si="53"/>
        <v>3236000</v>
      </c>
      <c r="F245" s="531">
        <f t="shared" si="53"/>
        <v>3480000</v>
      </c>
      <c r="G245" s="537">
        <f t="shared" si="53"/>
        <v>3699000</v>
      </c>
    </row>
    <row r="246" spans="1:7" ht="12.75">
      <c r="A246" s="524" t="s">
        <v>318</v>
      </c>
      <c r="B246" s="532">
        <f aca="true" t="shared" si="54" ref="B246:G246">B7+B31+B55+B79+B103+B127+B151+B175+B199+B223</f>
        <v>0</v>
      </c>
      <c r="C246" s="532">
        <f t="shared" si="54"/>
        <v>0</v>
      </c>
      <c r="D246" s="532">
        <f t="shared" si="54"/>
        <v>0</v>
      </c>
      <c r="E246" s="532">
        <f t="shared" si="54"/>
        <v>0</v>
      </c>
      <c r="F246" s="532">
        <f t="shared" si="54"/>
        <v>0</v>
      </c>
      <c r="G246" s="533">
        <f t="shared" si="54"/>
        <v>0</v>
      </c>
    </row>
    <row r="247" spans="1:7" ht="12.75">
      <c r="A247" s="534" t="s">
        <v>345</v>
      </c>
      <c r="B247" s="483">
        <f aca="true" t="shared" si="55" ref="B247:G247">B9+B33+B57+B81+B105+B129+B153+B177+B201+B225</f>
        <v>0</v>
      </c>
      <c r="C247" s="483">
        <f t="shared" si="55"/>
        <v>0</v>
      </c>
      <c r="D247" s="483">
        <f t="shared" si="55"/>
        <v>0</v>
      </c>
      <c r="E247" s="483">
        <f t="shared" si="55"/>
        <v>0</v>
      </c>
      <c r="F247" s="483">
        <f t="shared" si="55"/>
        <v>0</v>
      </c>
      <c r="G247" s="538">
        <f t="shared" si="55"/>
        <v>0</v>
      </c>
    </row>
    <row r="248" spans="1:7" ht="12.75">
      <c r="A248" s="525" t="s">
        <v>9</v>
      </c>
      <c r="B248" s="487">
        <f aca="true" t="shared" si="56" ref="B248:G248">B242-B245</f>
        <v>454084</v>
      </c>
      <c r="C248" s="487">
        <f t="shared" si="56"/>
        <v>283000</v>
      </c>
      <c r="D248" s="487">
        <f t="shared" si="56"/>
        <v>285000</v>
      </c>
      <c r="E248" s="487">
        <f t="shared" si="56"/>
        <v>255000</v>
      </c>
      <c r="F248" s="487">
        <f t="shared" si="56"/>
        <v>230000</v>
      </c>
      <c r="G248" s="488">
        <f t="shared" si="56"/>
        <v>200000</v>
      </c>
    </row>
    <row r="249" spans="1:7" ht="12.75">
      <c r="A249" s="489" t="s">
        <v>320</v>
      </c>
      <c r="B249" s="531">
        <f aca="true" t="shared" si="57" ref="B249:G249">B11+B35+B59+B83+B107+B131+B155+B179+B203+B227</f>
        <v>123313</v>
      </c>
      <c r="C249" s="531">
        <f t="shared" si="57"/>
        <v>-2551990</v>
      </c>
      <c r="D249" s="531">
        <f t="shared" si="57"/>
        <v>177075</v>
      </c>
      <c r="E249" s="531">
        <f t="shared" si="57"/>
        <v>270242</v>
      </c>
      <c r="F249" s="531">
        <f t="shared" si="57"/>
        <v>212727</v>
      </c>
      <c r="G249" s="537">
        <f t="shared" si="57"/>
        <v>186845</v>
      </c>
    </row>
    <row r="250" spans="1:7" ht="12.75">
      <c r="A250" s="489" t="s">
        <v>3</v>
      </c>
      <c r="B250" s="487">
        <f aca="true" t="shared" si="58" ref="B250:G250">B248+B249</f>
        <v>577397</v>
      </c>
      <c r="C250" s="487">
        <f t="shared" si="58"/>
        <v>-2268990</v>
      </c>
      <c r="D250" s="487">
        <f t="shared" si="58"/>
        <v>462075</v>
      </c>
      <c r="E250" s="487">
        <f t="shared" si="58"/>
        <v>525242</v>
      </c>
      <c r="F250" s="487">
        <f t="shared" si="58"/>
        <v>442727</v>
      </c>
      <c r="G250" s="488">
        <f t="shared" si="58"/>
        <v>386845</v>
      </c>
    </row>
    <row r="251" spans="1:7" ht="12.75">
      <c r="A251" s="489" t="s">
        <v>321</v>
      </c>
      <c r="B251" s="531">
        <f aca="true" t="shared" si="59" ref="B251:G253">B13+B37+B61+B85+B109+B133+B157+B181+B205+B229</f>
        <v>-558209</v>
      </c>
      <c r="C251" s="531">
        <f t="shared" si="59"/>
        <v>2309129</v>
      </c>
      <c r="D251" s="531">
        <f t="shared" si="59"/>
        <v>-586888</v>
      </c>
      <c r="E251" s="531">
        <f t="shared" si="59"/>
        <v>-565379</v>
      </c>
      <c r="F251" s="531">
        <f t="shared" si="59"/>
        <v>-415665</v>
      </c>
      <c r="G251" s="537">
        <f t="shared" si="59"/>
        <v>-394363</v>
      </c>
    </row>
    <row r="252" spans="1:7" ht="25.5">
      <c r="A252" s="298" t="s">
        <v>44</v>
      </c>
      <c r="B252" s="531">
        <f t="shared" si="59"/>
        <v>304553</v>
      </c>
      <c r="C252" s="531">
        <f t="shared" si="59"/>
        <v>-115183</v>
      </c>
      <c r="D252" s="531">
        <f t="shared" si="59"/>
        <v>-160000</v>
      </c>
      <c r="E252" s="531">
        <f t="shared" si="59"/>
        <v>-60000</v>
      </c>
      <c r="F252" s="531">
        <f t="shared" si="59"/>
        <v>-15000</v>
      </c>
      <c r="G252" s="537">
        <f t="shared" si="59"/>
        <v>5000</v>
      </c>
    </row>
    <row r="253" spans="1:7" ht="12.75">
      <c r="A253" s="298" t="s">
        <v>443</v>
      </c>
      <c r="B253" s="531">
        <f t="shared" si="59"/>
        <v>285365</v>
      </c>
      <c r="C253" s="531">
        <f t="shared" si="59"/>
        <v>-155322</v>
      </c>
      <c r="D253" s="531">
        <f t="shared" si="59"/>
        <v>-35187</v>
      </c>
      <c r="E253" s="531">
        <f t="shared" si="59"/>
        <v>-19863</v>
      </c>
      <c r="F253" s="531">
        <f t="shared" si="59"/>
        <v>-42062</v>
      </c>
      <c r="G253" s="537">
        <f t="shared" si="59"/>
        <v>12518</v>
      </c>
    </row>
    <row r="254" spans="1:7" ht="12.75">
      <c r="A254" s="492"/>
      <c r="B254" s="539"/>
      <c r="C254" s="539"/>
      <c r="D254" s="539"/>
      <c r="E254" s="539"/>
      <c r="F254" s="539"/>
      <c r="G254" s="540"/>
    </row>
    <row r="255" spans="1:7" ht="12.75">
      <c r="A255" s="298" t="s">
        <v>7</v>
      </c>
      <c r="B255" s="531">
        <f>B17+B41+B65+B89+B113+B137+B161+B185+B209+B233</f>
        <v>648750</v>
      </c>
      <c r="C255" s="495">
        <f>B255+C252</f>
        <v>533567</v>
      </c>
      <c r="D255" s="495">
        <f>C255+D252</f>
        <v>373567</v>
      </c>
      <c r="E255" s="495">
        <f>D255+E252</f>
        <v>313567</v>
      </c>
      <c r="F255" s="495">
        <f>E255+F252</f>
        <v>298567</v>
      </c>
      <c r="G255" s="496">
        <f>F255+G252</f>
        <v>303567</v>
      </c>
    </row>
    <row r="256" spans="1:7" ht="12.75">
      <c r="A256" s="497" t="s">
        <v>19</v>
      </c>
      <c r="B256" s="531">
        <f>B18+B42+B66+B90+B114+B138+B162+B186+B210+B234</f>
        <v>2347871</v>
      </c>
      <c r="C256" s="531">
        <f aca="true" t="shared" si="60" ref="C256:G259">C18+C42+C66+C90+C114+C138+C162+C186+C210+C234</f>
        <v>4657000</v>
      </c>
      <c r="D256" s="531">
        <f t="shared" si="60"/>
        <v>4070112</v>
      </c>
      <c r="E256" s="531">
        <f t="shared" si="60"/>
        <v>3504733</v>
      </c>
      <c r="F256" s="531">
        <f t="shared" si="60"/>
        <v>3089068</v>
      </c>
      <c r="G256" s="537">
        <f t="shared" si="60"/>
        <v>2694705</v>
      </c>
    </row>
    <row r="257" spans="1:7" ht="21">
      <c r="A257" s="500" t="s">
        <v>374</v>
      </c>
      <c r="B257" s="532">
        <f>B19+B43+B67+B91+B115+B139+B163+B187+B211+B235</f>
        <v>0</v>
      </c>
      <c r="C257" s="532">
        <f t="shared" si="60"/>
        <v>0</v>
      </c>
      <c r="D257" s="532">
        <f t="shared" si="60"/>
        <v>0</v>
      </c>
      <c r="E257" s="532">
        <f t="shared" si="60"/>
        <v>0</v>
      </c>
      <c r="F257" s="532">
        <f t="shared" si="60"/>
        <v>0</v>
      </c>
      <c r="G257" s="533">
        <f t="shared" si="60"/>
        <v>0</v>
      </c>
    </row>
    <row r="258" spans="1:7" ht="12.75">
      <c r="A258" s="500" t="s">
        <v>51</v>
      </c>
      <c r="B258" s="532">
        <f>B20+B44+B68+B92+B116+B140+B164+B188+B212+B236</f>
        <v>0</v>
      </c>
      <c r="C258" s="532">
        <f t="shared" si="60"/>
        <v>0</v>
      </c>
      <c r="D258" s="532">
        <f t="shared" si="60"/>
        <v>0</v>
      </c>
      <c r="E258" s="532">
        <f t="shared" si="60"/>
        <v>0</v>
      </c>
      <c r="F258" s="532">
        <f t="shared" si="60"/>
        <v>0</v>
      </c>
      <c r="G258" s="533">
        <f t="shared" si="60"/>
        <v>0</v>
      </c>
    </row>
    <row r="259" spans="1:7" ht="12.75">
      <c r="A259" s="503" t="s">
        <v>343</v>
      </c>
      <c r="B259" s="535">
        <f>B21+B45+B69+B93+B117+B141+B165+B189+B213+B237</f>
        <v>1903939</v>
      </c>
      <c r="C259" s="535">
        <f t="shared" si="60"/>
        <v>4199645</v>
      </c>
      <c r="D259" s="535">
        <f t="shared" si="60"/>
        <v>3669451</v>
      </c>
      <c r="E259" s="535">
        <f t="shared" si="60"/>
        <v>3137801</v>
      </c>
      <c r="F259" s="535">
        <f t="shared" si="60"/>
        <v>2738924</v>
      </c>
      <c r="G259" s="536">
        <f t="shared" si="60"/>
        <v>2366770</v>
      </c>
    </row>
    <row r="260" spans="1:7" ht="12.75">
      <c r="A260" s="298" t="s">
        <v>46</v>
      </c>
      <c r="B260" s="508">
        <f aca="true" t="shared" si="61" ref="B260:G260">IF(B256-B255&lt;0,0,B256-B255)</f>
        <v>1699121</v>
      </c>
      <c r="C260" s="508">
        <f t="shared" si="61"/>
        <v>4123433</v>
      </c>
      <c r="D260" s="508">
        <f t="shared" si="61"/>
        <v>3696545</v>
      </c>
      <c r="E260" s="508">
        <f t="shared" si="61"/>
        <v>3191166</v>
      </c>
      <c r="F260" s="508">
        <f t="shared" si="61"/>
        <v>2790501</v>
      </c>
      <c r="G260" s="509">
        <f t="shared" si="61"/>
        <v>2391138</v>
      </c>
    </row>
    <row r="261" spans="1:7" ht="13.5" thickBot="1">
      <c r="A261" s="510" t="s">
        <v>47</v>
      </c>
      <c r="B261" s="511">
        <f aca="true" t="shared" si="62" ref="B261:G261">B260/B242</f>
        <v>0.5798141450926784</v>
      </c>
      <c r="C261" s="511">
        <f t="shared" si="62"/>
        <v>1.3925812225599459</v>
      </c>
      <c r="D261" s="511">
        <f t="shared" si="62"/>
        <v>1.1297509168704156</v>
      </c>
      <c r="E261" s="511">
        <f t="shared" si="62"/>
        <v>0.9141122887424806</v>
      </c>
      <c r="F261" s="511">
        <f t="shared" si="62"/>
        <v>0.752156603773585</v>
      </c>
      <c r="G261" s="512">
        <f t="shared" si="62"/>
        <v>0.6132695562964863</v>
      </c>
    </row>
    <row r="262" spans="1:7" ht="12.75">
      <c r="A262" s="444"/>
      <c r="B262" s="541"/>
      <c r="C262" s="95"/>
      <c r="D262" s="95"/>
      <c r="E262" s="95"/>
      <c r="F262" s="95"/>
      <c r="G262" s="95"/>
    </row>
    <row r="263" spans="1:8" ht="12.75">
      <c r="A263" s="542" t="s">
        <v>8</v>
      </c>
      <c r="B263" s="508">
        <f aca="true" t="shared" si="63" ref="B263:G263">B250+B251-B252+B253</f>
        <v>0</v>
      </c>
      <c r="C263" s="508">
        <f t="shared" si="63"/>
        <v>0</v>
      </c>
      <c r="D263" s="508">
        <f t="shared" si="63"/>
        <v>0</v>
      </c>
      <c r="E263" s="508">
        <f t="shared" si="63"/>
        <v>0</v>
      </c>
      <c r="F263" s="508">
        <f t="shared" si="63"/>
        <v>0</v>
      </c>
      <c r="G263" s="508">
        <f t="shared" si="63"/>
        <v>0</v>
      </c>
      <c r="H263" s="230" t="s">
        <v>301</v>
      </c>
    </row>
    <row r="264" spans="1:8" ht="12.75">
      <c r="A264" s="542" t="s">
        <v>324</v>
      </c>
      <c r="B264" s="508">
        <f aca="true" t="shared" si="64" ref="B264:G264">-B5-B8+B29-B32+B53-B56+B77-B80+B101-B104+B125-B128+B149-B152+B173-B176+B197-B200+B221-B224</f>
        <v>0</v>
      </c>
      <c r="C264" s="508">
        <f t="shared" si="64"/>
        <v>0</v>
      </c>
      <c r="D264" s="508">
        <f t="shared" si="64"/>
        <v>0</v>
      </c>
      <c r="E264" s="508">
        <f t="shared" si="64"/>
        <v>0</v>
      </c>
      <c r="F264" s="508">
        <f t="shared" si="64"/>
        <v>0</v>
      </c>
      <c r="G264" s="508">
        <f t="shared" si="64"/>
        <v>0</v>
      </c>
      <c r="H264" s="230" t="s">
        <v>301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27</v>
      </c>
      <c r="B1" s="231" t="s">
        <v>457</v>
      </c>
      <c r="C1" s="231" t="s">
        <v>458</v>
      </c>
      <c r="D1" s="231" t="s">
        <v>428</v>
      </c>
      <c r="E1" s="231" t="s">
        <v>441</v>
      </c>
      <c r="F1" s="231" t="s">
        <v>454</v>
      </c>
      <c r="G1" s="277" t="s">
        <v>459</v>
      </c>
    </row>
    <row r="2" spans="1:9" ht="15" customHeight="1">
      <c r="A2" s="140" t="s">
        <v>0</v>
      </c>
      <c r="B2" s="31">
        <f>'Strateegia vorm KOV'!B2+'Strateegia vorm sõltuv üksus'!B242-'Strateegia vorm sõltuv üksus'!B246-'Strateegia vorm sõltuv üksus'!B243</f>
        <v>21344475.740000002</v>
      </c>
      <c r="C2" s="31">
        <f>'Strateegia vorm KOV'!C2+'Strateegia vorm sõltuv üksus'!C242-'Strateegia vorm sõltuv üksus'!C246-'Strateegia vorm sõltuv üksus'!C243</f>
        <v>21612462</v>
      </c>
      <c r="D2" s="31">
        <f>'Strateegia vorm KOV'!D2+'Strateegia vorm sõltuv üksus'!D242-'Strateegia vorm sõltuv üksus'!D246-'Strateegia vorm sõltuv üksus'!D243</f>
        <v>22896449.34</v>
      </c>
      <c r="E2" s="31">
        <f>'Strateegia vorm KOV'!E2+'Strateegia vorm sõltuv üksus'!E242-'Strateegia vorm sõltuv üksus'!E246-'Strateegia vorm sõltuv üksus'!E243</f>
        <v>23878554.3004</v>
      </c>
      <c r="F2" s="31">
        <f>'Strateegia vorm KOV'!F2+'Strateegia vorm sõltuv üksus'!F242-'Strateegia vorm sõltuv üksus'!F246-'Strateegia vorm sõltuv üksus'!F243</f>
        <v>25038209.498424</v>
      </c>
      <c r="G2" s="32">
        <f>'Strateegia vorm KOV'!G2+'Strateegia vorm sõltuv üksus'!G242-'Strateegia vorm sõltuv üksus'!G246-'Strateegia vorm sõltuv üksus'!G243</f>
        <v>25983230.866529442</v>
      </c>
      <c r="I2" s="4"/>
    </row>
    <row r="3" spans="1:9" ht="12.75">
      <c r="A3" s="141" t="s">
        <v>1</v>
      </c>
      <c r="B3" s="18">
        <f>'Strateegia vorm KOV'!B13+'Strateegia vorm sõltuv üksus'!B245-'Strateegia vorm sõltuv üksus'!B246-'Strateegia vorm sõltuv üksus'!B243</f>
        <v>16441484.259999998</v>
      </c>
      <c r="C3" s="18">
        <f>'Strateegia vorm KOV'!C13+'Strateegia vorm sõltuv üksus'!C245-'Strateegia vorm sõltuv üksus'!C246-'Strateegia vorm sõltuv üksus'!C243</f>
        <v>17543000</v>
      </c>
      <c r="D3" s="18">
        <f>'Strateegia vorm KOV'!D13+'Strateegia vorm sõltuv üksus'!D245-'Strateegia vorm sõltuv üksus'!D246-'Strateegia vorm sõltuv üksus'!D243</f>
        <v>18475000</v>
      </c>
      <c r="E3" s="18">
        <f>'Strateegia vorm KOV'!E13+'Strateegia vorm sõltuv üksus'!E245-'Strateegia vorm sõltuv üksus'!E246-'Strateegia vorm sõltuv üksus'!E243</f>
        <v>19257690</v>
      </c>
      <c r="F3" s="18">
        <f>'Strateegia vorm KOV'!F13+'Strateegia vorm sõltuv üksus'!F245-'Strateegia vorm sõltuv üksus'!F246-'Strateegia vorm sõltuv üksus'!F243</f>
        <v>20137505.1</v>
      </c>
      <c r="G3" s="30">
        <f>'Strateegia vorm KOV'!G13+'Strateegia vorm sõltuv üksus'!G245-'Strateegia vorm sõltuv üksus'!G246-'Strateegia vorm sõltuv üksus'!G243</f>
        <v>21030810.179</v>
      </c>
      <c r="I3" s="4"/>
    </row>
    <row r="4" spans="1:9" ht="12.75">
      <c r="A4" s="222" t="s">
        <v>348</v>
      </c>
      <c r="B4" s="224">
        <f>'Strateegia vorm sõltuv üksus'!B247+'Strateegia vorm KOV'!B18-'Strateegia vorm sõltuv üksus'!B244</f>
        <v>19000</v>
      </c>
      <c r="C4" s="224">
        <f>'Strateegia vorm sõltuv üksus'!C247+'Strateegia vorm KOV'!C18-'Strateegia vorm sõltuv üksus'!C244</f>
        <v>19414</v>
      </c>
      <c r="D4" s="224">
        <f>'Strateegia vorm sõltuv üksus'!D247+'Strateegia vorm KOV'!D18-'Strateegia vorm sõltuv üksus'!D244</f>
        <v>42538</v>
      </c>
      <c r="E4" s="224">
        <f>'Strateegia vorm sõltuv üksus'!E247+'Strateegia vorm KOV'!E18-'Strateegia vorm sõltuv üksus'!E244</f>
        <v>42538</v>
      </c>
      <c r="F4" s="224">
        <f>'Strateegia vorm sõltuv üksus'!F247+'Strateegia vorm KOV'!F18-'Strateegia vorm sõltuv üksus'!F244</f>
        <v>25114</v>
      </c>
      <c r="G4" s="225">
        <f>'Strateegia vorm sõltuv üksus'!G247+'Strateegia vorm KOV'!G18-'Strateegia vorm sõltuv üksus'!G244</f>
        <v>26602</v>
      </c>
      <c r="I4" s="4"/>
    </row>
    <row r="5" spans="1:10" ht="12.75">
      <c r="A5" s="141" t="s">
        <v>9</v>
      </c>
      <c r="B5" s="18">
        <f aca="true" t="shared" si="0" ref="B5:G5">B2-B3</f>
        <v>4902991.480000004</v>
      </c>
      <c r="C5" s="18">
        <f t="shared" si="0"/>
        <v>4069462</v>
      </c>
      <c r="D5" s="18">
        <f t="shared" si="0"/>
        <v>4421449.34</v>
      </c>
      <c r="E5" s="18">
        <f t="shared" si="0"/>
        <v>4620864.3004</v>
      </c>
      <c r="F5" s="18">
        <f t="shared" si="0"/>
        <v>4900704.398424</v>
      </c>
      <c r="G5" s="30">
        <f t="shared" si="0"/>
        <v>4952420.687529441</v>
      </c>
      <c r="J5" s="3"/>
    </row>
    <row r="6" spans="1:10" ht="12.75">
      <c r="A6" s="7" t="s">
        <v>2</v>
      </c>
      <c r="B6" s="14">
        <f>'Strateegia vorm KOV'!B21+'Strateegia vorm sõltuv üksus'!B249-'Strateegia vorm KOV'!B30-'Strateegia vorm KOV'!B29</f>
        <v>-10611347.030000001</v>
      </c>
      <c r="C6" s="14">
        <f>'Strateegia vorm KOV'!C21+'Strateegia vorm sõltuv üksus'!C249-'Strateegia vorm KOV'!C30-'Strateegia vorm KOV'!C29</f>
        <v>-7968955</v>
      </c>
      <c r="D6" s="14">
        <f>'Strateegia vorm KOV'!D21+'Strateegia vorm sõltuv üksus'!D249-'Strateegia vorm KOV'!D30-'Strateegia vorm KOV'!D29</f>
        <v>-6238762</v>
      </c>
      <c r="E6" s="14">
        <f>'Strateegia vorm KOV'!E21+'Strateegia vorm sõltuv üksus'!E249-'Strateegia vorm KOV'!E30-'Strateegia vorm KOV'!E29</f>
        <v>-5938762</v>
      </c>
      <c r="F6" s="14">
        <f>'Strateegia vorm KOV'!F21+'Strateegia vorm sõltuv üksus'!F249-'Strateegia vorm KOV'!F30-'Strateegia vorm KOV'!F29</f>
        <v>-3608405</v>
      </c>
      <c r="G6" s="15">
        <f>'Strateegia vorm KOV'!G21+'Strateegia vorm sõltuv üksus'!G249-'Strateegia vorm KOV'!G30-'Strateegia vorm KOV'!G29</f>
        <v>-7537514</v>
      </c>
      <c r="I6" s="4"/>
      <c r="J6" s="3"/>
    </row>
    <row r="7" spans="1:7" ht="12.75">
      <c r="A7" s="8" t="s">
        <v>3</v>
      </c>
      <c r="B7" s="14">
        <f aca="true" t="shared" si="1" ref="B7:G7">B5+B6</f>
        <v>-5708355.549999997</v>
      </c>
      <c r="C7" s="14">
        <f t="shared" si="1"/>
        <v>-3899493</v>
      </c>
      <c r="D7" s="14">
        <f t="shared" si="1"/>
        <v>-1817312.6600000001</v>
      </c>
      <c r="E7" s="14">
        <f t="shared" si="1"/>
        <v>-1317897.6996</v>
      </c>
      <c r="F7" s="14">
        <f t="shared" si="1"/>
        <v>1292299.3984239995</v>
      </c>
      <c r="G7" s="15">
        <f t="shared" si="1"/>
        <v>-2585093.312470559</v>
      </c>
    </row>
    <row r="8" spans="1:9" ht="12.75">
      <c r="A8" s="8" t="s">
        <v>4</v>
      </c>
      <c r="B8" s="14">
        <f>'Strateegia vorm KOV'!B34+'Strateegia vorm sõltuv üksus'!B251+'Strateegia vorm KOV'!B30+'Strateegia vorm KOV'!B29</f>
        <v>6687595.52</v>
      </c>
      <c r="C8" s="14">
        <f>'Strateegia vorm KOV'!C34+'Strateegia vorm sõltuv üksus'!C251+'Strateegia vorm KOV'!C30+'Strateegia vorm KOV'!C29</f>
        <v>4326682</v>
      </c>
      <c r="D8" s="14">
        <f>'Strateegia vorm KOV'!D34+'Strateegia vorm sõltuv üksus'!D251+'Strateegia vorm KOV'!D30+'Strateegia vorm KOV'!D29</f>
        <v>1835513</v>
      </c>
      <c r="E8" s="14">
        <f>'Strateegia vorm KOV'!E34+'Strateegia vorm sõltuv üksus'!E251+'Strateegia vorm KOV'!E30+'Strateegia vorm KOV'!E29</f>
        <v>1767666</v>
      </c>
      <c r="F8" s="14">
        <f>'Strateegia vorm KOV'!F34+'Strateegia vorm sõltuv üksus'!F251+'Strateegia vorm KOV'!F30+'Strateegia vorm KOV'!F29</f>
        <v>-2110354</v>
      </c>
      <c r="G8" s="15">
        <f>'Strateegia vorm KOV'!G34+'Strateegia vorm sõltuv üksus'!G251+'Strateegia vorm KOV'!G30+'Strateegia vorm KOV'!G29</f>
        <v>3017745</v>
      </c>
      <c r="I8" s="4"/>
    </row>
    <row r="9" spans="1:7" ht="25.5">
      <c r="A9" s="9" t="s">
        <v>44</v>
      </c>
      <c r="B9" s="14">
        <f>'Strateegia vorm KOV'!B37+'Strateegia vorm sõltuv üksus'!B252</f>
        <v>1015144</v>
      </c>
      <c r="C9" s="14">
        <f>'Strateegia vorm KOV'!C37+'Strateegia vorm sõltuv üksus'!C252</f>
        <v>-110183</v>
      </c>
      <c r="D9" s="14">
        <f>'Strateegia vorm KOV'!D37+'Strateegia vorm sõltuv üksus'!D252</f>
        <v>-16986.66000000015</v>
      </c>
      <c r="E9" s="14">
        <f>'Strateegia vorm KOV'!E37+'Strateegia vorm sõltuv üksus'!E252</f>
        <v>429905.30040000007</v>
      </c>
      <c r="F9" s="14">
        <f>'Strateegia vorm KOV'!F37+'Strateegia vorm sõltuv üksus'!F252</f>
        <v>-860116.6015760005</v>
      </c>
      <c r="G9" s="15">
        <f>'Strateegia vorm KOV'!G37+'Strateegia vorm sõltuv üksus'!G252</f>
        <v>445169.68752944097</v>
      </c>
    </row>
    <row r="10" spans="1:7" ht="12.75">
      <c r="A10" s="9" t="s">
        <v>443</v>
      </c>
      <c r="B10" s="14">
        <f aca="true" t="shared" si="2" ref="B10:G10">B9-B7-B8</f>
        <v>35904.02999999747</v>
      </c>
      <c r="C10" s="14">
        <f t="shared" si="2"/>
        <v>-537372</v>
      </c>
      <c r="D10" s="14">
        <f t="shared" si="2"/>
        <v>-35187</v>
      </c>
      <c r="E10" s="14">
        <f t="shared" si="2"/>
        <v>-19863</v>
      </c>
      <c r="F10" s="14">
        <f t="shared" si="2"/>
        <v>-42062</v>
      </c>
      <c r="G10" s="15">
        <f t="shared" si="2"/>
        <v>12518</v>
      </c>
    </row>
    <row r="11" spans="1:7" ht="12">
      <c r="A11" s="142"/>
      <c r="B11" s="16"/>
      <c r="C11" s="16"/>
      <c r="D11" s="16"/>
      <c r="E11" s="16"/>
      <c r="F11" s="16"/>
      <c r="G11" s="17"/>
    </row>
    <row r="12" spans="1:7" ht="12.75">
      <c r="A12" s="9" t="s">
        <v>7</v>
      </c>
      <c r="B12" s="18">
        <f>'Strateegia vorm KOV'!B41+'Strateegia vorm sõltuv üksus'!B255</f>
        <v>1359341</v>
      </c>
      <c r="C12" s="19">
        <f>B12+C9</f>
        <v>1249158</v>
      </c>
      <c r="D12" s="19">
        <f>C12+D9</f>
        <v>1232171.3399999999</v>
      </c>
      <c r="E12" s="19">
        <f>D12+E9</f>
        <v>1662076.6404</v>
      </c>
      <c r="F12" s="19">
        <f>E12+F9</f>
        <v>801960.0388239995</v>
      </c>
      <c r="G12" s="20">
        <f>F12+G9</f>
        <v>1247129.7263534404</v>
      </c>
    </row>
    <row r="13" spans="1:7" ht="12.75">
      <c r="A13" s="10" t="s">
        <v>19</v>
      </c>
      <c r="B13" s="18">
        <f>'Strateegia vorm KOV'!B42+'Strateegia vorm sõltuv üksus'!B256-'Strateegia vorm sõltuv üksus'!B258-'Strateegia vorm sõltuv üksus'!B259</f>
        <v>12822878.11</v>
      </c>
      <c r="C13" s="18">
        <f>'Strateegia vorm KOV'!C42+'Strateegia vorm sõltuv üksus'!C256-'Strateegia vorm sõltuv üksus'!C258-'Strateegia vorm sõltuv üksus'!C259</f>
        <v>16409767.11</v>
      </c>
      <c r="D13" s="18">
        <f>'Strateegia vorm KOV'!D42+'Strateegia vorm sõltuv üksus'!D256-'Strateegia vorm sõltuv üksus'!D258-'Strateegia vorm sõltuv üksus'!D259</f>
        <v>18248361.11</v>
      </c>
      <c r="E13" s="18">
        <f>'Strateegia vorm KOV'!E42+'Strateegia vorm sõltuv üksus'!E256-'Strateegia vorm sõltuv üksus'!E258-'Strateegia vorm sõltuv üksus'!E259</f>
        <v>20016027.11</v>
      </c>
      <c r="F13" s="18">
        <f>'Strateegia vorm KOV'!F42+'Strateegia vorm sõltuv üksus'!F256-'Strateegia vorm sõltuv üksus'!F258-'Strateegia vorm sõltuv üksus'!F259</f>
        <v>17888248.11</v>
      </c>
      <c r="G13" s="30">
        <f>'Strateegia vorm KOV'!G42+'Strateegia vorm sõltuv üksus'!G256-'Strateegia vorm sõltuv üksus'!G258-'Strateegia vorm sõltuv üksus'!G259</f>
        <v>20907482.11</v>
      </c>
    </row>
    <row r="14" spans="1:7" ht="19.5">
      <c r="A14" s="143" t="s">
        <v>374</v>
      </c>
      <c r="B14" s="24">
        <f>'Strateegia vorm KOV'!B44+'Strateegia vorm sõltuv üksus'!B257</f>
        <v>0</v>
      </c>
      <c r="C14" s="24">
        <f>'Strateegia vorm KOV'!C44+'Strateegia vorm sõltuv üksus'!C257</f>
        <v>0</v>
      </c>
      <c r="D14" s="24">
        <f>'Strateegia vorm KOV'!D44+'Strateegia vorm sõltuv üksus'!D257</f>
        <v>0</v>
      </c>
      <c r="E14" s="24">
        <f>'Strateegia vorm KOV'!E44+'Strateegia vorm sõltuv üksus'!E257</f>
        <v>0</v>
      </c>
      <c r="F14" s="24">
        <f>'Strateegia vorm KOV'!F44+'Strateegia vorm sõltuv üksus'!F257</f>
        <v>0</v>
      </c>
      <c r="G14" s="25">
        <f>'Strateegia vorm KOV'!G44+'Strateegia vorm sõltuv üksus'!G257</f>
        <v>0</v>
      </c>
    </row>
    <row r="15" spans="1:7" ht="12.75">
      <c r="A15" s="12" t="s">
        <v>46</v>
      </c>
      <c r="B15" s="29">
        <f aca="true" t="shared" si="3" ref="B15:G15">IF(B13-B12&lt;0,0,B13-B12)</f>
        <v>11463537.11</v>
      </c>
      <c r="C15" s="29">
        <f t="shared" si="3"/>
        <v>15160609.11</v>
      </c>
      <c r="D15" s="29">
        <f t="shared" si="3"/>
        <v>17016189.77</v>
      </c>
      <c r="E15" s="29">
        <f t="shared" si="3"/>
        <v>18353950.4696</v>
      </c>
      <c r="F15" s="29">
        <f t="shared" si="3"/>
        <v>17086288.071176</v>
      </c>
      <c r="G15" s="21">
        <f t="shared" si="3"/>
        <v>19660352.38364656</v>
      </c>
    </row>
    <row r="16" spans="1:7" ht="12.75">
      <c r="A16" s="12" t="s">
        <v>47</v>
      </c>
      <c r="B16" s="22">
        <f aca="true" t="shared" si="4" ref="B16:G16">B15/B2</f>
        <v>0.5370727887458527</v>
      </c>
      <c r="C16" s="22">
        <f t="shared" si="4"/>
        <v>0.7014753390890867</v>
      </c>
      <c r="D16" s="22">
        <f t="shared" si="4"/>
        <v>0.7431802860486665</v>
      </c>
      <c r="E16" s="22">
        <f t="shared" si="4"/>
        <v>0.7686374241380495</v>
      </c>
      <c r="F16" s="22">
        <f t="shared" si="4"/>
        <v>0.6824085433206186</v>
      </c>
      <c r="G16" s="23">
        <f t="shared" si="4"/>
        <v>0.7566554168970664</v>
      </c>
    </row>
    <row r="17" spans="1:7" ht="12.75">
      <c r="A17" s="12" t="s">
        <v>48</v>
      </c>
      <c r="B17" s="24">
        <f>IF((B5+B4)*10&gt;B2,B2+B14,IF((B5+B4)*10&lt;0.8*B2,0.8*B2+B14,(B5+B4)*10+B14))</f>
        <v>21344475.740000002</v>
      </c>
      <c r="C17" s="24">
        <f>IF((C5+C4)*10&gt;C2,C2+C14,IF((C5+C4)*10&lt;0.8*C2,0.8*C2+C14,(C5+C4)*10+C14))</f>
        <v>21612462</v>
      </c>
      <c r="D17" s="24">
        <f>IF((D5+D4)*10&gt;D2,D2+D14,IF((D5+D4)*10&lt;0.8*D2,0.8*D2+D14,(D5+D4)*10+D14))</f>
        <v>22896449.34</v>
      </c>
      <c r="E17" s="24">
        <f>IF((E5+E4)*10&gt;E2,E2+E14,IF((E5+E4)*10&lt;0.8*E2,0.8*E2+E14,(E5+E4)*10+E14))</f>
        <v>23878554.3004</v>
      </c>
      <c r="F17" s="24">
        <f>IF((F5+F4)*10&gt;F2,F2+F14,IF((F5+F4)*10&lt;0.8*F2,0.8*F2+F14,(F5+F4)*10+F14))</f>
        <v>25038209.498424</v>
      </c>
      <c r="G17" s="25">
        <f>IF((G5+G4)*9&gt;G2,G2+G14,IF((G5+G4)*9&lt;0.75*G2,0.75*G2+G14,(G5+G4)*9+G14))</f>
        <v>25983230.866529442</v>
      </c>
    </row>
    <row r="18" spans="1:7" ht="12.75">
      <c r="A18" s="12" t="s">
        <v>49</v>
      </c>
      <c r="B18" s="26">
        <f aca="true" t="shared" si="5" ref="B18:G18">B17/B2</f>
        <v>1</v>
      </c>
      <c r="C18" s="26">
        <f t="shared" si="5"/>
        <v>1</v>
      </c>
      <c r="D18" s="26">
        <f t="shared" si="5"/>
        <v>1</v>
      </c>
      <c r="E18" s="26">
        <f t="shared" si="5"/>
        <v>1</v>
      </c>
      <c r="F18" s="26">
        <f t="shared" si="5"/>
        <v>1</v>
      </c>
      <c r="G18" s="23">
        <f t="shared" si="5"/>
        <v>1</v>
      </c>
    </row>
    <row r="19" spans="1:7" ht="13.5" thickBot="1">
      <c r="A19" s="13" t="s">
        <v>50</v>
      </c>
      <c r="B19" s="27">
        <f aca="true" t="shared" si="6" ref="B19:G19">B17-B15</f>
        <v>9880938.630000003</v>
      </c>
      <c r="C19" s="27">
        <f t="shared" si="6"/>
        <v>6451852.890000001</v>
      </c>
      <c r="D19" s="27">
        <f t="shared" si="6"/>
        <v>5880259.57</v>
      </c>
      <c r="E19" s="27">
        <f t="shared" si="6"/>
        <v>5524603.830800001</v>
      </c>
      <c r="F19" s="27">
        <f t="shared" si="6"/>
        <v>7951921.427248001</v>
      </c>
      <c r="G19" s="28">
        <f t="shared" si="6"/>
        <v>6322878.482882883</v>
      </c>
    </row>
    <row r="21" spans="2:7" ht="12">
      <c r="B21" s="100"/>
      <c r="C21" s="100"/>
      <c r="D21" s="100"/>
      <c r="E21" s="100"/>
      <c r="F21" s="100"/>
      <c r="G21" s="100"/>
    </row>
    <row r="22" spans="2:7" ht="12">
      <c r="B22" s="100"/>
      <c r="C22" s="100"/>
      <c r="D22" s="100"/>
      <c r="E22" s="100"/>
      <c r="F22" s="100"/>
      <c r="G22" s="100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Ulvi Viilvere</cp:lastModifiedBy>
  <cp:lastPrinted>2012-02-28T06:47:43Z</cp:lastPrinted>
  <dcterms:created xsi:type="dcterms:W3CDTF">2009-03-11T11:38:40Z</dcterms:created>
  <dcterms:modified xsi:type="dcterms:W3CDTF">2021-06-09T17:43:29Z</dcterms:modified>
  <cp:category/>
  <cp:version/>
  <cp:contentType/>
  <cp:contentStatus/>
</cp:coreProperties>
</file>