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tartuvald-my.sharepoint.com/personal/estrit_aasma_tartuvald_ee/Documents/Desktop/Koduleht/2023/"/>
    </mc:Choice>
  </mc:AlternateContent>
  <xr:revisionPtr revIDLastSave="0" documentId="8_{7F79227F-BEBE-4D1E-BF96-E487E5260D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-2022" sheetId="8" r:id="rId1"/>
    <sheet name="haridus" sheetId="9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24" i="8" l="1"/>
  <c r="O1554" i="8"/>
  <c r="N1458" i="8"/>
  <c r="P1609" i="8"/>
  <c r="P1590" i="8"/>
  <c r="P1588" i="8"/>
  <c r="P1586" i="8"/>
  <c r="P1584" i="8"/>
  <c r="P1547" i="8"/>
  <c r="P1533" i="8"/>
  <c r="P1496" i="8"/>
  <c r="P1433" i="8"/>
  <c r="P1430" i="8" s="1"/>
  <c r="P1428" i="8" s="1"/>
  <c r="P1426" i="8"/>
  <c r="P1348" i="8"/>
  <c r="P1318" i="8"/>
  <c r="P1297" i="8"/>
  <c r="P1295" i="8"/>
  <c r="P1265" i="8"/>
  <c r="P1257" i="8"/>
  <c r="P1223" i="8"/>
  <c r="O1189" i="8"/>
  <c r="P1189" i="8"/>
  <c r="P1187" i="8"/>
  <c r="P1153" i="8"/>
  <c r="P942" i="8"/>
  <c r="P444" i="8"/>
  <c r="O388" i="8"/>
  <c r="Q384" i="8"/>
  <c r="P342" i="8"/>
  <c r="O214" i="8"/>
  <c r="P209" i="8"/>
  <c r="P208" i="8" s="1"/>
  <c r="P202" i="8"/>
  <c r="P188" i="8"/>
  <c r="P189" i="8"/>
  <c r="O189" i="8"/>
  <c r="O188" i="8"/>
  <c r="O1753" i="8"/>
  <c r="P1667" i="8"/>
  <c r="O1667" i="8"/>
  <c r="O1747" i="8" s="1"/>
  <c r="O1453" i="8"/>
  <c r="O1614" i="8"/>
  <c r="O1611" i="8" s="1"/>
  <c r="O1609" i="8"/>
  <c r="O1596" i="8"/>
  <c r="O1594" i="8" s="1"/>
  <c r="O1590" i="8"/>
  <c r="O1588" i="8"/>
  <c r="O1586" i="8"/>
  <c r="O1584" i="8"/>
  <c r="O1578" i="8"/>
  <c r="O1576" i="8" s="1"/>
  <c r="O1570" i="8"/>
  <c r="O1566" i="8"/>
  <c r="P1554" i="8"/>
  <c r="O1551" i="8"/>
  <c r="O1550" i="8" s="1"/>
  <c r="O1548" i="8"/>
  <c r="O1547" i="8" s="1"/>
  <c r="O1539" i="8"/>
  <c r="O1538" i="8" s="1"/>
  <c r="O1533" i="8"/>
  <c r="O1514" i="8"/>
  <c r="O1511" i="8" s="1"/>
  <c r="O1500" i="8"/>
  <c r="O1498" i="8" s="1"/>
  <c r="O1496" i="8"/>
  <c r="O1490" i="8"/>
  <c r="O1488" i="8" s="1"/>
  <c r="O1478" i="8"/>
  <c r="O1471" i="8"/>
  <c r="O1472" i="8"/>
  <c r="O1458" i="8"/>
  <c r="O1442" i="8"/>
  <c r="O1433" i="8"/>
  <c r="O1430" i="8" s="1"/>
  <c r="O1426" i="8"/>
  <c r="N1429" i="8"/>
  <c r="N1431" i="8"/>
  <c r="N1432" i="8"/>
  <c r="N1433" i="8"/>
  <c r="O1412" i="8"/>
  <c r="O1410" i="8" s="1"/>
  <c r="O1403" i="8"/>
  <c r="O1401" i="8" s="1"/>
  <c r="O1394" i="8"/>
  <c r="O1392" i="8" s="1"/>
  <c r="O1379" i="8"/>
  <c r="O1376" i="8" s="1"/>
  <c r="O1374" i="8" s="1"/>
  <c r="O1363" i="8"/>
  <c r="O1362" i="8" s="1"/>
  <c r="O1360" i="8" s="1"/>
  <c r="O1352" i="8"/>
  <c r="O1350" i="8" s="1"/>
  <c r="O1348" i="8"/>
  <c r="O1324" i="8"/>
  <c r="O1321" i="8" s="1"/>
  <c r="O1337" i="8"/>
  <c r="O1334" i="8" s="1"/>
  <c r="O1318" i="8"/>
  <c r="O1306" i="8"/>
  <c r="O1302" i="8" s="1"/>
  <c r="O1299" i="8" s="1"/>
  <c r="O1265" i="8"/>
  <c r="O1297" i="8"/>
  <c r="O1257" i="8"/>
  <c r="O1223" i="8"/>
  <c r="O1187" i="8"/>
  <c r="O1295" i="8"/>
  <c r="O1273" i="8"/>
  <c r="O1269" i="8" s="1"/>
  <c r="O1267" i="8" s="1"/>
  <c r="O1253" i="8"/>
  <c r="O1251" i="8" s="1"/>
  <c r="O1231" i="8"/>
  <c r="O1227" i="8" s="1"/>
  <c r="O1221" i="8"/>
  <c r="O1219" i="8" s="1"/>
  <c r="O1217" i="8" s="1"/>
  <c r="O1199" i="8"/>
  <c r="O1197" i="8" s="1"/>
  <c r="O1193" i="8" s="1"/>
  <c r="O1183" i="8"/>
  <c r="O1161" i="8"/>
  <c r="O1157" i="8" s="1"/>
  <c r="O1155" i="8" s="1"/>
  <c r="O1153" i="8"/>
  <c r="O1261" i="8"/>
  <c r="O1259" i="8" s="1"/>
  <c r="O1149" i="8"/>
  <c r="O1147" i="8" s="1"/>
  <c r="O1126" i="8"/>
  <c r="O1122" i="8" s="1"/>
  <c r="O1101" i="8"/>
  <c r="O1098" i="8" s="1"/>
  <c r="N1089" i="8"/>
  <c r="N1082" i="8"/>
  <c r="O1076" i="8"/>
  <c r="O1073" i="8" s="1"/>
  <c r="O1071" i="8" s="1"/>
  <c r="O1019" i="8"/>
  <c r="O1016" i="8" s="1"/>
  <c r="O1046" i="8"/>
  <c r="O1043" i="8" s="1"/>
  <c r="P1068" i="8"/>
  <c r="P1067" i="8" s="1"/>
  <c r="O1068" i="8"/>
  <c r="O994" i="8"/>
  <c r="O991" i="8" s="1"/>
  <c r="O967" i="8"/>
  <c r="O964" i="8" s="1"/>
  <c r="O946" i="8"/>
  <c r="O944" i="8" s="1"/>
  <c r="O942" i="8"/>
  <c r="O930" i="8"/>
  <c r="O929" i="8" s="1"/>
  <c r="O905" i="8"/>
  <c r="O902" i="8" s="1"/>
  <c r="O858" i="8"/>
  <c r="O855" i="8" s="1"/>
  <c r="O853" i="8" s="1"/>
  <c r="O880" i="8"/>
  <c r="O877" i="8" s="1"/>
  <c r="O875" i="8" s="1"/>
  <c r="O836" i="8"/>
  <c r="O833" i="8" s="1"/>
  <c r="O831" i="8" s="1"/>
  <c r="O825" i="8"/>
  <c r="O822" i="8" s="1"/>
  <c r="O820" i="8" s="1"/>
  <c r="O808" i="8"/>
  <c r="O804" i="8" s="1"/>
  <c r="O802" i="8" s="1"/>
  <c r="O791" i="8"/>
  <c r="O787" i="8" s="1"/>
  <c r="O777" i="8"/>
  <c r="O773" i="8" s="1"/>
  <c r="O771" i="8" s="1"/>
  <c r="O748" i="8"/>
  <c r="O736" i="8"/>
  <c r="O732" i="8" s="1"/>
  <c r="O730" i="8" s="1"/>
  <c r="O713" i="8"/>
  <c r="O709" i="8" s="1"/>
  <c r="O707" i="8" s="1"/>
  <c r="O690" i="8"/>
  <c r="O686" i="8" s="1"/>
  <c r="O684" i="8" s="1"/>
  <c r="O672" i="8"/>
  <c r="O668" i="8" s="1"/>
  <c r="O666" i="8" s="1"/>
  <c r="O655" i="8"/>
  <c r="O651" i="8" s="1"/>
  <c r="O648" i="8" s="1"/>
  <c r="O756" i="8"/>
  <c r="O752" i="8" s="1"/>
  <c r="O750" i="8" s="1"/>
  <c r="O638" i="8"/>
  <c r="O635" i="8" s="1"/>
  <c r="O619" i="8"/>
  <c r="O616" i="8" s="1"/>
  <c r="O614" i="8" s="1"/>
  <c r="O598" i="8"/>
  <c r="O595" i="8" s="1"/>
  <c r="O593" i="8" s="1"/>
  <c r="O576" i="8"/>
  <c r="O572" i="8" s="1"/>
  <c r="O559" i="8"/>
  <c r="O556" i="8" s="1"/>
  <c r="O554" i="8" s="1"/>
  <c r="O545" i="8"/>
  <c r="O541" i="8" s="1"/>
  <c r="O539" i="8" s="1"/>
  <c r="O496" i="8"/>
  <c r="O492" i="8" s="1"/>
  <c r="O403" i="8"/>
  <c r="O399" i="8" s="1"/>
  <c r="O397" i="8" s="1"/>
  <c r="O423" i="8"/>
  <c r="O520" i="8"/>
  <c r="O516" i="8" s="1"/>
  <c r="O514" i="8" s="1"/>
  <c r="O480" i="8"/>
  <c r="O478" i="8" s="1"/>
  <c r="O474" i="8"/>
  <c r="O471" i="8" s="1"/>
  <c r="O444" i="8"/>
  <c r="O430" i="8"/>
  <c r="O428" i="8" s="1"/>
  <c r="O452" i="8"/>
  <c r="O448" i="8" s="1"/>
  <c r="F384" i="8"/>
  <c r="H384" i="8" s="1"/>
  <c r="N384" i="8"/>
  <c r="O369" i="8"/>
  <c r="O367" i="8" s="1"/>
  <c r="O351" i="8"/>
  <c r="O350" i="8" s="1"/>
  <c r="O342" i="8"/>
  <c r="O332" i="8"/>
  <c r="O330" i="8" s="1"/>
  <c r="O314" i="8"/>
  <c r="O313" i="8" s="1"/>
  <c r="O311" i="8" s="1"/>
  <c r="O306" i="8"/>
  <c r="O305" i="8" s="1"/>
  <c r="O297" i="8"/>
  <c r="O294" i="8" s="1"/>
  <c r="O290" i="8"/>
  <c r="O291" i="8"/>
  <c r="O280" i="8"/>
  <c r="O278" i="8" s="1"/>
  <c r="O270" i="8"/>
  <c r="O267" i="8"/>
  <c r="O244" i="8"/>
  <c r="O239" i="8" s="1"/>
  <c r="O230" i="8"/>
  <c r="O229" i="8" s="1"/>
  <c r="O224" i="8"/>
  <c r="O223" i="8" s="1"/>
  <c r="O221" i="8" s="1"/>
  <c r="O202" i="8"/>
  <c r="O201" i="8" s="1"/>
  <c r="O209" i="8"/>
  <c r="O208" i="8" s="1"/>
  <c r="O194" i="8"/>
  <c r="O192" i="8" s="1"/>
  <c r="O191" i="8"/>
  <c r="O185" i="8"/>
  <c r="O183" i="8" s="1"/>
  <c r="O179" i="8" s="1"/>
  <c r="N182" i="8"/>
  <c r="O177" i="8"/>
  <c r="O165" i="8"/>
  <c r="O160" i="8"/>
  <c r="O149" i="8"/>
  <c r="O140" i="8" s="1"/>
  <c r="O135" i="8" s="1"/>
  <c r="O129" i="8"/>
  <c r="O125" i="8" s="1"/>
  <c r="O119" i="8"/>
  <c r="O122" i="8"/>
  <c r="O96" i="8"/>
  <c r="O92" i="8"/>
  <c r="O72" i="8"/>
  <c r="O76" i="8"/>
  <c r="O56" i="8"/>
  <c r="O50" i="8"/>
  <c r="O47" i="8" s="1"/>
  <c r="O38" i="8"/>
  <c r="R24" i="8"/>
  <c r="R18" i="8"/>
  <c r="O10" i="8"/>
  <c r="O5" i="8"/>
  <c r="O190" i="8" l="1"/>
  <c r="O187" i="8" s="1"/>
  <c r="O1553" i="8"/>
  <c r="O1428" i="8"/>
  <c r="O212" i="8"/>
  <c r="O1452" i="8"/>
  <c r="O386" i="8"/>
  <c r="O361" i="8"/>
  <c r="O1469" i="8"/>
  <c r="O1477" i="8"/>
  <c r="O1408" i="8"/>
  <c r="O958" i="8"/>
  <c r="O1225" i="8"/>
  <c r="O1191" i="8"/>
  <c r="O1181" i="8"/>
  <c r="O1120" i="8"/>
  <c r="O1096" i="8"/>
  <c r="O1014" i="8"/>
  <c r="O927" i="8"/>
  <c r="O900" i="8"/>
  <c r="O785" i="8"/>
  <c r="O746" i="8"/>
  <c r="O632" i="8"/>
  <c r="O570" i="8"/>
  <c r="O490" i="8"/>
  <c r="O446" i="8"/>
  <c r="O365" i="8"/>
  <c r="O344" i="8"/>
  <c r="O348" i="8"/>
  <c r="O345" i="8" s="1"/>
  <c r="O288" i="8"/>
  <c r="O292" i="8"/>
  <c r="O289" i="8" s="1"/>
  <c r="O266" i="8"/>
  <c r="O265" i="8"/>
  <c r="O237" i="8"/>
  <c r="O186" i="8" s="1"/>
  <c r="O112" i="8"/>
  <c r="O181" i="8"/>
  <c r="O175" i="8" s="1"/>
  <c r="O176" i="8"/>
  <c r="O133" i="8"/>
  <c r="O120" i="8"/>
  <c r="O121" i="8"/>
  <c r="O123" i="8"/>
  <c r="O75" i="8"/>
  <c r="O8" i="8"/>
  <c r="O1456" i="8" l="1"/>
  <c r="O1454" i="8"/>
  <c r="O104" i="8"/>
  <c r="O117" i="8"/>
  <c r="O118" i="8"/>
  <c r="U1751" i="8"/>
  <c r="E29" i="9" l="1"/>
  <c r="G29" i="9"/>
  <c r="P1216" i="8" l="1"/>
  <c r="P939" i="8" l="1"/>
  <c r="P576" i="8" l="1"/>
  <c r="P496" i="8" l="1"/>
  <c r="P492" i="8" s="1"/>
  <c r="P490" i="8" s="1"/>
  <c r="P426" i="8" l="1"/>
  <c r="P425" i="8" s="1"/>
  <c r="P423" i="8" s="1"/>
  <c r="F425" i="8"/>
  <c r="H425" i="8" s="1"/>
  <c r="L424" i="8"/>
  <c r="N423" i="8" s="1"/>
  <c r="F424" i="8"/>
  <c r="H424" i="8" s="1"/>
  <c r="K423" i="8"/>
  <c r="F423" i="8"/>
  <c r="H423" i="8" l="1"/>
  <c r="P232" i="8"/>
  <c r="P230" i="8" s="1"/>
  <c r="P229" i="8" s="1"/>
  <c r="P93" i="8" l="1"/>
  <c r="P923" i="8" l="1"/>
  <c r="P818" i="8" l="1"/>
  <c r="P395" i="8" l="1"/>
  <c r="R1481" i="8" l="1"/>
  <c r="P630" i="8" l="1"/>
  <c r="P331" i="8" l="1"/>
  <c r="P94" i="8" l="1"/>
  <c r="P629" i="8"/>
  <c r="P627" i="8" s="1"/>
  <c r="P1546" i="8"/>
  <c r="P957" i="8"/>
  <c r="P958" i="8"/>
  <c r="P1446" i="8"/>
  <c r="P1444" i="8" s="1"/>
  <c r="P1442" i="8" s="1"/>
  <c r="F1444" i="8"/>
  <c r="H1444" i="8" s="1"/>
  <c r="F1443" i="8"/>
  <c r="H1443" i="8" s="1"/>
  <c r="K1442" i="8"/>
  <c r="F1442" i="8"/>
  <c r="P1656" i="8"/>
  <c r="G28" i="9"/>
  <c r="F28" i="9"/>
  <c r="E28" i="9"/>
  <c r="D28" i="9" s="1"/>
  <c r="F29" i="9"/>
  <c r="F27" i="9" s="1"/>
  <c r="D26" i="9"/>
  <c r="E27" i="9" l="1"/>
  <c r="D27" i="9" s="1"/>
  <c r="G27" i="9"/>
  <c r="H1442" i="8"/>
  <c r="P1453" i="8"/>
  <c r="N1611" i="8"/>
  <c r="N1609" i="8"/>
  <c r="P1614" i="8"/>
  <c r="P1611" i="8" s="1"/>
  <c r="P1578" i="8"/>
  <c r="P1576" i="8" s="1"/>
  <c r="P1570" i="8"/>
  <c r="P1566" i="8"/>
  <c r="P1490" i="8"/>
  <c r="P1553" i="8" l="1"/>
  <c r="P166" i="8"/>
  <c r="P131" i="8" l="1"/>
  <c r="P56" i="8"/>
  <c r="Q1455" i="8" l="1"/>
  <c r="Q1543" i="8"/>
  <c r="Q1544" i="8"/>
  <c r="Q1546" i="8"/>
  <c r="P1545" i="8"/>
  <c r="Q1545" i="8" s="1"/>
  <c r="P1539" i="8"/>
  <c r="P1538" i="8" s="1"/>
  <c r="Q1522" i="8"/>
  <c r="Q1517" i="8"/>
  <c r="Q1515" i="8"/>
  <c r="F1509" i="8"/>
  <c r="H1509" i="8" s="1"/>
  <c r="P1500" i="8"/>
  <c r="P1498" i="8" s="1"/>
  <c r="P1478" i="8"/>
  <c r="P1472" i="8"/>
  <c r="P1469" i="8" s="1"/>
  <c r="P1458" i="8"/>
  <c r="N1472" i="8"/>
  <c r="F1475" i="8"/>
  <c r="H1475" i="8" s="1"/>
  <c r="Q1475" i="8"/>
  <c r="F1476" i="8"/>
  <c r="H1476" i="8" s="1"/>
  <c r="Q1476" i="8"/>
  <c r="N1584" i="8"/>
  <c r="F1584" i="8"/>
  <c r="P1452" i="8" l="1"/>
  <c r="P1456" i="8"/>
  <c r="P314" i="8"/>
  <c r="P191" i="8" l="1"/>
  <c r="P608" i="8" l="1"/>
  <c r="P586" i="8"/>
  <c r="P564" i="8"/>
  <c r="P549" i="8"/>
  <c r="P224" i="8" l="1"/>
  <c r="P223" i="8" s="1"/>
  <c r="P221" i="8" s="1"/>
  <c r="N356" i="8"/>
  <c r="N357" i="8"/>
  <c r="N351" i="8"/>
  <c r="N358" i="8"/>
  <c r="P1324" i="8"/>
  <c r="P1321" i="8" s="1"/>
  <c r="P351" i="8" l="1"/>
  <c r="P350" i="8" s="1"/>
  <c r="N1335" i="8"/>
  <c r="F1335" i="8"/>
  <c r="H1335" i="8" s="1"/>
  <c r="P1273" i="8" l="1"/>
  <c r="P1261" i="8" l="1"/>
  <c r="P1259" i="8" s="1"/>
  <c r="P291" i="8"/>
  <c r="P265" i="8"/>
  <c r="P201" i="8"/>
  <c r="P177" i="8"/>
  <c r="P119" i="8"/>
  <c r="P120" i="8"/>
  <c r="P122" i="8"/>
  <c r="P1403" i="8" l="1"/>
  <c r="P1401" i="8" s="1"/>
  <c r="P1253" i="8" l="1"/>
  <c r="P1251" i="8" s="1"/>
  <c r="P1219" i="8" l="1"/>
  <c r="P1217" i="8" s="1"/>
  <c r="P1197" i="8" l="1"/>
  <c r="P1379" i="8"/>
  <c r="P1183" i="8" l="1"/>
  <c r="P1181" i="8" s="1"/>
  <c r="P1149" i="8" l="1"/>
  <c r="P1147" i="8" s="1"/>
  <c r="P1126" i="8" l="1"/>
  <c r="P1122" i="8" s="1"/>
  <c r="P1120" i="8" s="1"/>
  <c r="P1101" i="8" l="1"/>
  <c r="P1098" i="8" s="1"/>
  <c r="P1096" i="8" s="1"/>
  <c r="P1076" i="8" l="1"/>
  <c r="P967" i="8" l="1"/>
  <c r="T922" i="8" l="1"/>
  <c r="P880" i="8" l="1"/>
  <c r="T896" i="8"/>
  <c r="P808" i="8"/>
  <c r="T873" i="8" l="1"/>
  <c r="T851" i="8" l="1"/>
  <c r="P791" i="8" l="1"/>
  <c r="P777" i="8" l="1"/>
  <c r="P748" i="8" l="1"/>
  <c r="P746" i="8" s="1"/>
  <c r="P736" i="8"/>
  <c r="F671" i="8" l="1"/>
  <c r="H671" i="8" s="1"/>
  <c r="N671" i="8"/>
  <c r="Q671" i="8" s="1"/>
  <c r="P639" i="8" l="1"/>
  <c r="P619" i="8" l="1"/>
  <c r="P559" i="8" l="1"/>
  <c r="P452" i="8" l="1"/>
  <c r="P448" i="8" s="1"/>
  <c r="P446" i="8" s="1"/>
  <c r="P434" i="8"/>
  <c r="P430" i="8" s="1"/>
  <c r="P428" i="8" s="1"/>
  <c r="P369" i="8" l="1"/>
  <c r="P367" i="8" s="1"/>
  <c r="P365" i="8" s="1"/>
  <c r="F295" i="8"/>
  <c r="H295" i="8" s="1"/>
  <c r="N276" i="8" l="1"/>
  <c r="Q1294" i="8"/>
  <c r="Q1322" i="8"/>
  <c r="Q1323" i="8"/>
  <c r="Q1501" i="8"/>
  <c r="Q1502" i="8"/>
  <c r="Q1503" i="8"/>
  <c r="Q1504" i="8"/>
  <c r="Q1505" i="8"/>
  <c r="Q1507" i="8"/>
  <c r="Q1564" i="8"/>
  <c r="Q1565" i="8"/>
  <c r="Q184" i="8"/>
  <c r="Q185" i="8"/>
  <c r="Q231" i="8"/>
  <c r="Q233" i="8"/>
  <c r="Q234" i="8"/>
  <c r="Q235" i="8"/>
  <c r="Q236" i="8"/>
  <c r="P183" i="8" l="1"/>
  <c r="P179" i="8" s="1"/>
  <c r="P176" i="8" l="1"/>
  <c r="P165" i="8"/>
  <c r="P160" i="8"/>
  <c r="P140" i="8"/>
  <c r="P162" i="8"/>
  <c r="P129" i="8" l="1"/>
  <c r="P96" i="8"/>
  <c r="P76" i="8"/>
  <c r="P92" i="8"/>
  <c r="P75" i="8" l="1"/>
  <c r="P47" i="8"/>
  <c r="P5" i="8" l="1"/>
  <c r="P10" i="8"/>
  <c r="P38" i="8"/>
  <c r="L341" i="8" l="1"/>
  <c r="N341" i="8" s="1"/>
  <c r="P341" i="8" s="1"/>
  <c r="F341" i="8"/>
  <c r="H341" i="8" s="1"/>
  <c r="L340" i="8"/>
  <c r="N340" i="8" s="1"/>
  <c r="P340" i="8" s="1"/>
  <c r="F340" i="8"/>
  <c r="H340" i="8" s="1"/>
  <c r="L339" i="8"/>
  <c r="N339" i="8" s="1"/>
  <c r="Q339" i="8" s="1"/>
  <c r="F339" i="8"/>
  <c r="H339" i="8" s="1"/>
  <c r="L338" i="8"/>
  <c r="N338" i="8" s="1"/>
  <c r="P338" i="8" s="1"/>
  <c r="F338" i="8"/>
  <c r="H338" i="8" s="1"/>
  <c r="L337" i="8"/>
  <c r="N337" i="8" s="1"/>
  <c r="P337" i="8" s="1"/>
  <c r="F337" i="8"/>
  <c r="H337" i="8" s="1"/>
  <c r="L336" i="8"/>
  <c r="N336" i="8" s="1"/>
  <c r="Q336" i="8" s="1"/>
  <c r="F336" i="8"/>
  <c r="H336" i="8" s="1"/>
  <c r="L335" i="8"/>
  <c r="N335" i="8" s="1"/>
  <c r="P335" i="8" s="1"/>
  <c r="F335" i="8"/>
  <c r="H335" i="8" s="1"/>
  <c r="L334" i="8"/>
  <c r="N334" i="8" s="1"/>
  <c r="P334" i="8" s="1"/>
  <c r="L333" i="8"/>
  <c r="F333" i="8"/>
  <c r="H333" i="8" s="1"/>
  <c r="M332" i="8"/>
  <c r="M330" i="8" s="1"/>
  <c r="K332" i="8"/>
  <c r="K330" i="8" s="1"/>
  <c r="J332" i="8"/>
  <c r="J330" i="8" s="1"/>
  <c r="I332" i="8"/>
  <c r="I330" i="8" s="1"/>
  <c r="G332" i="8"/>
  <c r="E332" i="8"/>
  <c r="F332" i="8" s="1"/>
  <c r="L331" i="8"/>
  <c r="F331" i="8"/>
  <c r="H331" i="8" s="1"/>
  <c r="N1575" i="8"/>
  <c r="M38" i="8"/>
  <c r="M10" i="8"/>
  <c r="M1156" i="8"/>
  <c r="M1121" i="8"/>
  <c r="M1042" i="8"/>
  <c r="M963" i="8"/>
  <c r="M1298" i="8"/>
  <c r="M1715" i="8"/>
  <c r="M1669" i="8" s="1"/>
  <c r="N81" i="8"/>
  <c r="Q81" i="8" s="1"/>
  <c r="M76" i="8"/>
  <c r="V75" i="8"/>
  <c r="V76" i="8"/>
  <c r="N1557" i="8"/>
  <c r="M1553" i="8"/>
  <c r="M896" i="8"/>
  <c r="M1595" i="8"/>
  <c r="F1590" i="8"/>
  <c r="L1590" i="8"/>
  <c r="M1590" i="8"/>
  <c r="N1592" i="8"/>
  <c r="N1590" i="8" s="1"/>
  <c r="P332" i="8" l="1"/>
  <c r="P330" i="8" s="1"/>
  <c r="Q1557" i="8"/>
  <c r="Q182" i="8"/>
  <c r="N177" i="8"/>
  <c r="Q177" i="8" s="1"/>
  <c r="Q1590" i="8"/>
  <c r="Q1592" i="8"/>
  <c r="H332" i="8"/>
  <c r="H330" i="8" s="1"/>
  <c r="E330" i="8"/>
  <c r="F330" i="8" s="1"/>
  <c r="L332" i="8"/>
  <c r="L330" i="8" s="1"/>
  <c r="G330" i="8"/>
  <c r="N331" i="8"/>
  <c r="Q331" i="8" s="1"/>
  <c r="N333" i="8"/>
  <c r="N1405" i="8"/>
  <c r="Q1405" i="8" s="1"/>
  <c r="M1403" i="8"/>
  <c r="N1404" i="8"/>
  <c r="Q1404" i="8" s="1"/>
  <c r="L1406" i="8"/>
  <c r="N1406" i="8" s="1"/>
  <c r="F1406" i="8"/>
  <c r="H1406" i="8" s="1"/>
  <c r="M576" i="8"/>
  <c r="N584" i="8"/>
  <c r="L521" i="8"/>
  <c r="N332" i="8" l="1"/>
  <c r="Q332" i="8" s="1"/>
  <c r="L1403" i="8"/>
  <c r="N1403" i="8"/>
  <c r="N1714" i="8"/>
  <c r="T18" i="8"/>
  <c r="T24" i="8"/>
  <c r="Q1403" i="8" l="1"/>
  <c r="Q1406" i="8"/>
  <c r="N330" i="8"/>
  <c r="Q330" i="8" s="1"/>
  <c r="N1733" i="8"/>
  <c r="P1733" i="8" s="1"/>
  <c r="N1734" i="8"/>
  <c r="N1735" i="8"/>
  <c r="N1736" i="8"/>
  <c r="N1737" i="8"/>
  <c r="N1738" i="8"/>
  <c r="N1744" i="8"/>
  <c r="P1744" i="8" s="1"/>
  <c r="L1732" i="8"/>
  <c r="N1732" i="8" s="1"/>
  <c r="H1732" i="8"/>
  <c r="D1655" i="8"/>
  <c r="E1655" i="8"/>
  <c r="G1655" i="8"/>
  <c r="I1655" i="8"/>
  <c r="J1655" i="8"/>
  <c r="K1655" i="8"/>
  <c r="M1655" i="8"/>
  <c r="N1662" i="8"/>
  <c r="P1662" i="8" s="1"/>
  <c r="N1663" i="8"/>
  <c r="P1663" i="8" s="1"/>
  <c r="N1664" i="8"/>
  <c r="P1664" i="8" s="1"/>
  <c r="N1665" i="8"/>
  <c r="P1665" i="8" s="1"/>
  <c r="L1647" i="8"/>
  <c r="N1647" i="8" s="1"/>
  <c r="L1648" i="8"/>
  <c r="N1648" i="8" s="1"/>
  <c r="P1648" i="8" s="1"/>
  <c r="L1649" i="8"/>
  <c r="N1649" i="8" s="1"/>
  <c r="L1650" i="8"/>
  <c r="N1650" i="8" s="1"/>
  <c r="L1651" i="8"/>
  <c r="N1651" i="8" s="1"/>
  <c r="L1652" i="8"/>
  <c r="N1652" i="8" s="1"/>
  <c r="L1653" i="8"/>
  <c r="N1653" i="8" s="1"/>
  <c r="P1653" i="8" s="1"/>
  <c r="L1654" i="8"/>
  <c r="N1654" i="8" s="1"/>
  <c r="P1654" i="8" s="1"/>
  <c r="D1624" i="8"/>
  <c r="E1624" i="8"/>
  <c r="G1624" i="8"/>
  <c r="I1624" i="8"/>
  <c r="J1624" i="8"/>
  <c r="K1624" i="8"/>
  <c r="M1624" i="8"/>
  <c r="M633" i="8"/>
  <c r="L1746" i="8"/>
  <c r="N821" i="8"/>
  <c r="Q821" i="8" s="1"/>
  <c r="N803" i="8"/>
  <c r="N506" i="8"/>
  <c r="Q506" i="8" s="1"/>
  <c r="M496" i="8"/>
  <c r="M492" i="8" s="1"/>
  <c r="N1745" i="8"/>
  <c r="P1745" i="8" s="1"/>
  <c r="M1753" i="8"/>
  <c r="N1670" i="8"/>
  <c r="M1667" i="8"/>
  <c r="L1668" i="8"/>
  <c r="N1657" i="8"/>
  <c r="P1657" i="8" s="1"/>
  <c r="N1658" i="8"/>
  <c r="P1658" i="8" s="1"/>
  <c r="N1659" i="8"/>
  <c r="P1659" i="8" s="1"/>
  <c r="N1660" i="8"/>
  <c r="N1661" i="8"/>
  <c r="N1666" i="8"/>
  <c r="P1666" i="8" s="1"/>
  <c r="Q1609" i="8"/>
  <c r="M1596" i="8"/>
  <c r="M1594" i="8" s="1"/>
  <c r="F1609" i="8"/>
  <c r="F1611" i="8"/>
  <c r="L1611" i="8"/>
  <c r="Q1611" i="8" s="1"/>
  <c r="M1586" i="8"/>
  <c r="M1584" i="8" s="1"/>
  <c r="L1586" i="8"/>
  <c r="L1584" i="8" s="1"/>
  <c r="N1587" i="8"/>
  <c r="Q1587" i="8" s="1"/>
  <c r="M1588" i="8"/>
  <c r="L1556" i="8"/>
  <c r="N1556" i="8" s="1"/>
  <c r="L1558" i="8"/>
  <c r="N1558" i="8" s="1"/>
  <c r="L1559" i="8"/>
  <c r="N1559" i="8" s="1"/>
  <c r="L1560" i="8"/>
  <c r="N1560" i="8" s="1"/>
  <c r="L1561" i="8"/>
  <c r="N1561" i="8" s="1"/>
  <c r="L1562" i="8"/>
  <c r="N1562" i="8" s="1"/>
  <c r="L1563" i="8"/>
  <c r="N1563" i="8" s="1"/>
  <c r="L1567" i="8"/>
  <c r="N1567" i="8" s="1"/>
  <c r="L1570" i="8"/>
  <c r="L1578" i="8"/>
  <c r="N1578" i="8" s="1"/>
  <c r="L1571" i="8"/>
  <c r="L1583" i="8"/>
  <c r="N1583" i="8" s="1"/>
  <c r="L1574" i="8"/>
  <c r="M1547" i="8"/>
  <c r="N1550" i="8"/>
  <c r="M1538" i="8"/>
  <c r="L1538" i="8"/>
  <c r="N1540" i="8"/>
  <c r="N1541" i="8"/>
  <c r="N1542" i="8"/>
  <c r="N1539" i="8"/>
  <c r="N1537" i="8"/>
  <c r="Q1537" i="8" s="1"/>
  <c r="N1536" i="8"/>
  <c r="Q1536" i="8" s="1"/>
  <c r="M1535" i="8"/>
  <c r="L1535" i="8"/>
  <c r="N1534" i="8"/>
  <c r="M1533" i="8"/>
  <c r="N1499" i="8"/>
  <c r="M1500" i="8"/>
  <c r="M1498" i="8" s="1"/>
  <c r="N1500" i="8"/>
  <c r="L1500" i="8"/>
  <c r="L1498" i="8" s="1"/>
  <c r="N1513" i="8"/>
  <c r="N1512" i="8"/>
  <c r="M1514" i="8"/>
  <c r="M1496" i="8"/>
  <c r="L1496" i="8"/>
  <c r="N1497" i="8"/>
  <c r="N1489" i="8"/>
  <c r="N1486" i="8"/>
  <c r="N1478" i="8"/>
  <c r="N1487" i="8"/>
  <c r="L1477" i="8"/>
  <c r="L1456" i="8" s="1"/>
  <c r="N1467" i="8"/>
  <c r="Q1467" i="8" s="1"/>
  <c r="N1470" i="8"/>
  <c r="Q1470" i="8" s="1"/>
  <c r="M1477" i="8"/>
  <c r="N1402" i="8"/>
  <c r="Q1402" i="8" s="1"/>
  <c r="Q1432" i="8"/>
  <c r="N1435" i="8"/>
  <c r="N1437" i="8"/>
  <c r="N1438" i="8"/>
  <c r="N1439" i="8"/>
  <c r="N1440" i="8"/>
  <c r="N1441" i="8"/>
  <c r="M1430" i="8"/>
  <c r="M1428" i="8" s="1"/>
  <c r="L1430" i="8"/>
  <c r="Q1429" i="8"/>
  <c r="N1427" i="8"/>
  <c r="Q1427" i="8" s="1"/>
  <c r="M1426" i="8"/>
  <c r="N1411" i="8"/>
  <c r="Q1411" i="8" s="1"/>
  <c r="M1412" i="8"/>
  <c r="M1410" i="8" s="1"/>
  <c r="L1412" i="8"/>
  <c r="N1414" i="8"/>
  <c r="Q1414" i="8" s="1"/>
  <c r="N1415" i="8"/>
  <c r="Q1415" i="8" s="1"/>
  <c r="N1417" i="8"/>
  <c r="N1418" i="8"/>
  <c r="Q1418" i="8" s="1"/>
  <c r="N1419" i="8"/>
  <c r="N1420" i="8"/>
  <c r="N1421" i="8"/>
  <c r="N1413" i="8"/>
  <c r="Q1413" i="8" s="1"/>
  <c r="N1424" i="8"/>
  <c r="N1425" i="8"/>
  <c r="N1399" i="8"/>
  <c r="N1400" i="8"/>
  <c r="Q1400" i="8" s="1"/>
  <c r="N1396" i="8"/>
  <c r="Q1396" i="8" s="1"/>
  <c r="N1397" i="8"/>
  <c r="Q1397" i="8" s="1"/>
  <c r="M1394" i="8"/>
  <c r="M1401" i="8"/>
  <c r="M1379" i="8"/>
  <c r="M1376" i="8" s="1"/>
  <c r="M1374" i="8" s="1"/>
  <c r="L1379" i="8"/>
  <c r="N1380" i="8"/>
  <c r="Q1380" i="8" s="1"/>
  <c r="N1381" i="8"/>
  <c r="Q1381" i="8" s="1"/>
  <c r="N1382" i="8"/>
  <c r="Q1382" i="8" s="1"/>
  <c r="N1383" i="8"/>
  <c r="Q1383" i="8" s="1"/>
  <c r="N1384" i="8"/>
  <c r="Q1384" i="8" s="1"/>
  <c r="N1385" i="8"/>
  <c r="Q1385" i="8" s="1"/>
  <c r="N1386" i="8"/>
  <c r="Q1386" i="8" s="1"/>
  <c r="N1389" i="8"/>
  <c r="Q1389" i="8" s="1"/>
  <c r="N1390" i="8"/>
  <c r="Q1390" i="8" s="1"/>
  <c r="N1387" i="8"/>
  <c r="N1378" i="8"/>
  <c r="Q1378" i="8" s="1"/>
  <c r="N1377" i="8"/>
  <c r="Q1377" i="8" s="1"/>
  <c r="M1363" i="8"/>
  <c r="M1362" i="8" s="1"/>
  <c r="N1372" i="8"/>
  <c r="N1370" i="8"/>
  <c r="N1367" i="8"/>
  <c r="Q1367" i="8" s="1"/>
  <c r="N1369" i="8"/>
  <c r="N1364" i="8"/>
  <c r="N1365" i="8"/>
  <c r="N1354" i="8"/>
  <c r="Q1354" i="8" s="1"/>
  <c r="N1355" i="8"/>
  <c r="N1357" i="8"/>
  <c r="Q1357" i="8" s="1"/>
  <c r="N1353" i="8"/>
  <c r="M1348" i="8"/>
  <c r="N1349" i="8"/>
  <c r="Q1349" i="8" s="1"/>
  <c r="L1348" i="8"/>
  <c r="M1352" i="8"/>
  <c r="M1350" i="8" s="1"/>
  <c r="N1336" i="8"/>
  <c r="N1339" i="8"/>
  <c r="N1340" i="8"/>
  <c r="N1341" i="8"/>
  <c r="N1342" i="8"/>
  <c r="N1344" i="8"/>
  <c r="N1345" i="8"/>
  <c r="N1346" i="8"/>
  <c r="N1347" i="8"/>
  <c r="N1338" i="8"/>
  <c r="Q1338" i="8" s="1"/>
  <c r="M1337" i="8"/>
  <c r="M1334" i="8" s="1"/>
  <c r="N1326" i="8"/>
  <c r="Q1326" i="8" s="1"/>
  <c r="N1327" i="8"/>
  <c r="Q1327" i="8" s="1"/>
  <c r="N1328" i="8"/>
  <c r="Q1328" i="8" s="1"/>
  <c r="N1329" i="8"/>
  <c r="Q1329" i="8" s="1"/>
  <c r="N1330" i="8"/>
  <c r="Q1330" i="8" s="1"/>
  <c r="N1331" i="8"/>
  <c r="Q1331" i="8" s="1"/>
  <c r="N1332" i="8"/>
  <c r="Q1332" i="8" s="1"/>
  <c r="N1333" i="8"/>
  <c r="Q1333" i="8" s="1"/>
  <c r="N1325" i="8"/>
  <c r="Q1325" i="8" s="1"/>
  <c r="M1324" i="8"/>
  <c r="M1321" i="8" s="1"/>
  <c r="L1324" i="8"/>
  <c r="L1321" i="8" s="1"/>
  <c r="M1318" i="8"/>
  <c r="N1319" i="8"/>
  <c r="Q1319" i="8" s="1"/>
  <c r="N1312" i="8"/>
  <c r="Q1312" i="8" s="1"/>
  <c r="N1314" i="8"/>
  <c r="Q1314" i="8" s="1"/>
  <c r="N1315" i="8"/>
  <c r="Q1315" i="8" s="1"/>
  <c r="N1316" i="8"/>
  <c r="Q1316" i="8" s="1"/>
  <c r="N1317" i="8"/>
  <c r="Q1317" i="8" s="1"/>
  <c r="N1311" i="8"/>
  <c r="Q1311" i="8" s="1"/>
  <c r="M1306" i="8"/>
  <c r="M1302" i="8" s="1"/>
  <c r="N1304" i="8"/>
  <c r="N1305" i="8"/>
  <c r="P1305" i="8" s="1"/>
  <c r="N1303" i="8"/>
  <c r="L1306" i="8"/>
  <c r="N1310" i="8"/>
  <c r="P1310" i="8" s="1"/>
  <c r="P1306" i="8" s="1"/>
  <c r="F1310" i="8"/>
  <c r="H1310" i="8" s="1"/>
  <c r="N1309" i="8"/>
  <c r="F1309" i="8"/>
  <c r="H1309" i="8" s="1"/>
  <c r="N1308" i="8"/>
  <c r="F1308" i="8"/>
  <c r="H1308" i="8" s="1"/>
  <c r="N1307" i="8"/>
  <c r="Q1307" i="8" s="1"/>
  <c r="F1307" i="8"/>
  <c r="H1307" i="8" s="1"/>
  <c r="N1300" i="8"/>
  <c r="Q1300" i="8" s="1"/>
  <c r="M1295" i="8"/>
  <c r="M1297" i="8"/>
  <c r="N1298" i="8"/>
  <c r="L1297" i="8"/>
  <c r="M1273" i="8"/>
  <c r="M1269" i="8" s="1"/>
  <c r="N1274" i="8"/>
  <c r="Q1274" i="8" s="1"/>
  <c r="N1275" i="8"/>
  <c r="Q1275" i="8" s="1"/>
  <c r="N1276" i="8"/>
  <c r="Q1276" i="8" s="1"/>
  <c r="N1277" i="8"/>
  <c r="Q1277" i="8" s="1"/>
  <c r="N1278" i="8"/>
  <c r="Q1278" i="8" s="1"/>
  <c r="N1279" i="8"/>
  <c r="Q1279" i="8" s="1"/>
  <c r="N1280" i="8"/>
  <c r="Q1280" i="8" s="1"/>
  <c r="N1281" i="8"/>
  <c r="Q1281" i="8" s="1"/>
  <c r="N1282" i="8"/>
  <c r="Q1282" i="8" s="1"/>
  <c r="N1283" i="8"/>
  <c r="Q1283" i="8" s="1"/>
  <c r="N1271" i="8"/>
  <c r="Q1271" i="8" s="1"/>
  <c r="N1272" i="8"/>
  <c r="Q1272" i="8" s="1"/>
  <c r="N1270" i="8"/>
  <c r="Q1270" i="8" s="1"/>
  <c r="N1285" i="8"/>
  <c r="Q1285" i="8" s="1"/>
  <c r="N1287" i="8"/>
  <c r="Q1287" i="8" s="1"/>
  <c r="N1288" i="8"/>
  <c r="N1289" i="8"/>
  <c r="Q1289" i="8" s="1"/>
  <c r="N1290" i="8"/>
  <c r="Q1290" i="8" s="1"/>
  <c r="N1291" i="8"/>
  <c r="Q1291" i="8" s="1"/>
  <c r="M1261" i="8"/>
  <c r="M1265" i="8"/>
  <c r="M1253" i="8"/>
  <c r="M1257" i="8"/>
  <c r="M1231" i="8"/>
  <c r="M1219" i="8"/>
  <c r="M1217" i="8" s="1"/>
  <c r="M1223" i="8"/>
  <c r="M1197" i="8"/>
  <c r="M1193" i="8" s="1"/>
  <c r="M1191" i="8" s="1"/>
  <c r="N1190" i="8"/>
  <c r="M1189" i="8"/>
  <c r="M1183" i="8"/>
  <c r="M1181" i="8" s="1"/>
  <c r="M1187" i="8"/>
  <c r="M1161" i="8"/>
  <c r="M1157" i="8" s="1"/>
  <c r="M1155" i="8" s="1"/>
  <c r="M1153" i="8"/>
  <c r="M1149" i="8"/>
  <c r="M1126" i="8"/>
  <c r="M1122" i="8" s="1"/>
  <c r="M1101" i="8"/>
  <c r="M1098" i="8" s="1"/>
  <c r="L1101" i="8"/>
  <c r="N1110" i="8"/>
  <c r="F1110" i="8"/>
  <c r="H1110" i="8" s="1"/>
  <c r="N1109" i="8"/>
  <c r="F1109" i="8"/>
  <c r="H1109" i="8" s="1"/>
  <c r="N1108" i="8"/>
  <c r="F1108" i="8"/>
  <c r="H1108" i="8" s="1"/>
  <c r="N1107" i="8"/>
  <c r="F1107" i="8"/>
  <c r="H1107" i="8" s="1"/>
  <c r="N1106" i="8"/>
  <c r="F1106" i="8"/>
  <c r="H1106" i="8" s="1"/>
  <c r="N1105" i="8"/>
  <c r="F1105" i="8"/>
  <c r="H1105" i="8" s="1"/>
  <c r="N1104" i="8"/>
  <c r="F1104" i="8"/>
  <c r="H1104" i="8" s="1"/>
  <c r="N1103" i="8"/>
  <c r="F1103" i="8"/>
  <c r="H1103" i="8" s="1"/>
  <c r="N1102" i="8"/>
  <c r="Q1102" i="8" s="1"/>
  <c r="F1102" i="8"/>
  <c r="H1102" i="8" s="1"/>
  <c r="N1075" i="8"/>
  <c r="Q1075" i="8" s="1"/>
  <c r="N1074" i="8"/>
  <c r="N1088" i="8"/>
  <c r="Q1088" i="8" s="1"/>
  <c r="N1091" i="8"/>
  <c r="N1092" i="8"/>
  <c r="N1093" i="8"/>
  <c r="N1094" i="8"/>
  <c r="N1095" i="8"/>
  <c r="N1087" i="8"/>
  <c r="Q1087" i="8" s="1"/>
  <c r="M1076" i="8"/>
  <c r="M1073" i="8" s="1"/>
  <c r="M1071" i="8" s="1"/>
  <c r="N1072" i="8"/>
  <c r="Q1072" i="8" s="1"/>
  <c r="N1068" i="8"/>
  <c r="M1067" i="8"/>
  <c r="N1045" i="8"/>
  <c r="Q1045" i="8" s="1"/>
  <c r="N1044" i="8"/>
  <c r="Q1044" i="8" s="1"/>
  <c r="L1046" i="8"/>
  <c r="L1043" i="8" s="1"/>
  <c r="N1048" i="8"/>
  <c r="Q1048" i="8" s="1"/>
  <c r="N1049" i="8"/>
  <c r="Q1049" i="8" s="1"/>
  <c r="N1050" i="8"/>
  <c r="Q1050" i="8" s="1"/>
  <c r="N1051" i="8"/>
  <c r="Q1051" i="8" s="1"/>
  <c r="N1052" i="8"/>
  <c r="Q1052" i="8" s="1"/>
  <c r="N1053" i="8"/>
  <c r="Q1053" i="8" s="1"/>
  <c r="N1054" i="8"/>
  <c r="Q1054" i="8" s="1"/>
  <c r="N1055" i="8"/>
  <c r="Q1055" i="8" s="1"/>
  <c r="N1056" i="8"/>
  <c r="N1047" i="8"/>
  <c r="Q1047" i="8" s="1"/>
  <c r="N1058" i="8"/>
  <c r="Q1058" i="8" s="1"/>
  <c r="N1059" i="8"/>
  <c r="Q1059" i="8" s="1"/>
  <c r="N1060" i="8"/>
  <c r="Q1060" i="8" s="1"/>
  <c r="N1061" i="8"/>
  <c r="Q1061" i="8" s="1"/>
  <c r="N1062" i="8"/>
  <c r="Q1062" i="8" s="1"/>
  <c r="N1063" i="8"/>
  <c r="Q1063" i="8" s="1"/>
  <c r="N1064" i="8"/>
  <c r="N1066" i="8"/>
  <c r="N1057" i="8"/>
  <c r="Q1057" i="8" s="1"/>
  <c r="M1046" i="8"/>
  <c r="M1043" i="8" s="1"/>
  <c r="M1040" i="8" s="1"/>
  <c r="N1042" i="8"/>
  <c r="N1041" i="8"/>
  <c r="O1041" i="8" s="1"/>
  <c r="O1040" i="8" s="1"/>
  <c r="M1019" i="8"/>
  <c r="M1016" i="8" s="1"/>
  <c r="N992" i="8"/>
  <c r="Q992" i="8" s="1"/>
  <c r="N993" i="8"/>
  <c r="Q993" i="8" s="1"/>
  <c r="M994" i="8"/>
  <c r="N1005" i="8"/>
  <c r="N1006" i="8"/>
  <c r="Q1006" i="8" s="1"/>
  <c r="N1007" i="8"/>
  <c r="Q1007" i="8" s="1"/>
  <c r="N990" i="8"/>
  <c r="Q990" i="8" s="1"/>
  <c r="N989" i="8"/>
  <c r="O989" i="8" s="1"/>
  <c r="O988" i="8" s="1"/>
  <c r="N973" i="8"/>
  <c r="Q973" i="8" s="1"/>
  <c r="N974" i="8"/>
  <c r="Q974" i="8" s="1"/>
  <c r="N975" i="8"/>
  <c r="Q975" i="8" s="1"/>
  <c r="N976" i="8"/>
  <c r="Q976" i="8" s="1"/>
  <c r="N977" i="8"/>
  <c r="Q977" i="8" s="1"/>
  <c r="N978" i="8"/>
  <c r="Q978" i="8" s="1"/>
  <c r="M967" i="8"/>
  <c r="N966" i="8"/>
  <c r="Q966" i="8" s="1"/>
  <c r="N965" i="8"/>
  <c r="Q965" i="8" s="1"/>
  <c r="N963" i="8"/>
  <c r="N962" i="8"/>
  <c r="O962" i="8" s="1"/>
  <c r="N949" i="8"/>
  <c r="Q949" i="8" s="1"/>
  <c r="N950" i="8"/>
  <c r="N952" i="8"/>
  <c r="N953" i="8"/>
  <c r="N947" i="8"/>
  <c r="Q947" i="8" s="1"/>
  <c r="M946" i="8"/>
  <c r="M944" i="8" s="1"/>
  <c r="N943" i="8"/>
  <c r="Q943" i="8" s="1"/>
  <c r="M942" i="8"/>
  <c r="N940" i="8"/>
  <c r="N941" i="8"/>
  <c r="N939" i="8"/>
  <c r="Q939" i="8" s="1"/>
  <c r="M938" i="8"/>
  <c r="M936" i="8" s="1"/>
  <c r="N937" i="8"/>
  <c r="Q937" i="8" s="1"/>
  <c r="N928" i="8"/>
  <c r="Q928" i="8" s="1"/>
  <c r="M930" i="8"/>
  <c r="M929" i="8" s="1"/>
  <c r="M927" i="8" s="1"/>
  <c r="L930" i="8"/>
  <c r="L929" i="8" s="1"/>
  <c r="N935" i="8"/>
  <c r="F935" i="8"/>
  <c r="H935" i="8" s="1"/>
  <c r="N931" i="8"/>
  <c r="F931" i="8"/>
  <c r="H931" i="8" s="1"/>
  <c r="M924" i="8"/>
  <c r="L924" i="8"/>
  <c r="N925" i="8"/>
  <c r="Q925" i="8" s="1"/>
  <c r="N926" i="8"/>
  <c r="M905" i="8"/>
  <c r="M902" i="8" s="1"/>
  <c r="M900" i="8" s="1"/>
  <c r="M880" i="8"/>
  <c r="M877" i="8" s="1"/>
  <c r="N860" i="8"/>
  <c r="Q860" i="8" s="1"/>
  <c r="N861" i="8"/>
  <c r="Q861" i="8" s="1"/>
  <c r="N862" i="8"/>
  <c r="Q862" i="8" s="1"/>
  <c r="N863" i="8"/>
  <c r="Q863" i="8" s="1"/>
  <c r="N864" i="8"/>
  <c r="Q864" i="8" s="1"/>
  <c r="N865" i="8"/>
  <c r="Q865" i="8" s="1"/>
  <c r="N866" i="8"/>
  <c r="N867" i="8"/>
  <c r="N859" i="8"/>
  <c r="M858" i="8"/>
  <c r="M855" i="8" s="1"/>
  <c r="M853" i="8" s="1"/>
  <c r="L858" i="8"/>
  <c r="N857" i="8"/>
  <c r="Q857" i="8" s="1"/>
  <c r="N856" i="8"/>
  <c r="Q856" i="8" s="1"/>
  <c r="M836" i="8"/>
  <c r="M833" i="8" s="1"/>
  <c r="M831" i="8" s="1"/>
  <c r="M808" i="8"/>
  <c r="M804" i="8" s="1"/>
  <c r="M802" i="8" s="1"/>
  <c r="M825" i="8"/>
  <c r="M822" i="8" s="1"/>
  <c r="M820" i="8" s="1"/>
  <c r="N824" i="8"/>
  <c r="N823" i="8"/>
  <c r="Q823" i="8" s="1"/>
  <c r="N829" i="8"/>
  <c r="P829" i="8" s="1"/>
  <c r="N830" i="8"/>
  <c r="Q830" i="8" s="1"/>
  <c r="N828" i="8"/>
  <c r="Q828" i="8" s="1"/>
  <c r="L825" i="8"/>
  <c r="L822" i="8" s="1"/>
  <c r="N827" i="8"/>
  <c r="Q827" i="8" s="1"/>
  <c r="F827" i="8"/>
  <c r="H827" i="8" s="1"/>
  <c r="N826" i="8"/>
  <c r="P826" i="8" s="1"/>
  <c r="P825" i="8" s="1"/>
  <c r="F826" i="8"/>
  <c r="H826" i="8" s="1"/>
  <c r="N813" i="8"/>
  <c r="N814" i="8"/>
  <c r="N815" i="8"/>
  <c r="N816" i="8"/>
  <c r="N818" i="8"/>
  <c r="N819" i="8"/>
  <c r="N812" i="8"/>
  <c r="N805" i="8"/>
  <c r="N806" i="8"/>
  <c r="N807" i="8"/>
  <c r="L808" i="8"/>
  <c r="L804" i="8" s="1"/>
  <c r="N811" i="8"/>
  <c r="F811" i="8"/>
  <c r="H811" i="8" s="1"/>
  <c r="N809" i="8"/>
  <c r="F809" i="8"/>
  <c r="H809" i="8" s="1"/>
  <c r="N797" i="8"/>
  <c r="N798" i="8"/>
  <c r="N799" i="8"/>
  <c r="N800" i="8"/>
  <c r="Q800" i="8" s="1"/>
  <c r="N801" i="8"/>
  <c r="N796" i="8"/>
  <c r="Q796" i="8" s="1"/>
  <c r="N793" i="8"/>
  <c r="Q793" i="8" s="1"/>
  <c r="N794" i="8"/>
  <c r="Q794" i="8" s="1"/>
  <c r="N795" i="8"/>
  <c r="Q795" i="8" s="1"/>
  <c r="N792" i="8"/>
  <c r="Q792" i="8" s="1"/>
  <c r="L791" i="8"/>
  <c r="N790" i="8"/>
  <c r="Q790" i="8" s="1"/>
  <c r="N788" i="8"/>
  <c r="Q788" i="8" s="1"/>
  <c r="N786" i="8"/>
  <c r="Q786" i="8" s="1"/>
  <c r="M791" i="8"/>
  <c r="M787" i="8" s="1"/>
  <c r="M785" i="8" s="1"/>
  <c r="L772" i="8"/>
  <c r="N781" i="8"/>
  <c r="Q781" i="8" s="1"/>
  <c r="N782" i="8"/>
  <c r="Q782" i="8" s="1"/>
  <c r="N783" i="8"/>
  <c r="Q783" i="8" s="1"/>
  <c r="N780" i="8"/>
  <c r="Q780" i="8" s="1"/>
  <c r="N775" i="8"/>
  <c r="N776" i="8"/>
  <c r="Q776" i="8" s="1"/>
  <c r="N774" i="8"/>
  <c r="M777" i="8"/>
  <c r="M773" i="8" s="1"/>
  <c r="M771" i="8" s="1"/>
  <c r="L777" i="8"/>
  <c r="N779" i="8"/>
  <c r="Q779" i="8" s="1"/>
  <c r="F779" i="8"/>
  <c r="H779" i="8" s="1"/>
  <c r="N778" i="8"/>
  <c r="F778" i="8"/>
  <c r="H778" i="8" s="1"/>
  <c r="N753" i="8"/>
  <c r="N754" i="8"/>
  <c r="N755" i="8"/>
  <c r="Q755" i="8" s="1"/>
  <c r="N758" i="8"/>
  <c r="Q758" i="8" s="1"/>
  <c r="N759" i="8"/>
  <c r="N760" i="8"/>
  <c r="Q760" i="8" s="1"/>
  <c r="N761" i="8"/>
  <c r="Q761" i="8" s="1"/>
  <c r="N762" i="8"/>
  <c r="Q762" i="8" s="1"/>
  <c r="N763" i="8"/>
  <c r="Q763" i="8" s="1"/>
  <c r="N757" i="8"/>
  <c r="M756" i="8"/>
  <c r="M752" i="8" s="1"/>
  <c r="L756" i="8"/>
  <c r="N764" i="8"/>
  <c r="N765" i="8"/>
  <c r="Q765" i="8" s="1"/>
  <c r="N766" i="8"/>
  <c r="Q766" i="8" s="1"/>
  <c r="N768" i="8"/>
  <c r="N769" i="8"/>
  <c r="M748" i="8"/>
  <c r="F749" i="8"/>
  <c r="H749" i="8" s="1"/>
  <c r="L749" i="8"/>
  <c r="L748" i="8" s="1"/>
  <c r="N733" i="8"/>
  <c r="Q733" i="8" s="1"/>
  <c r="N734" i="8"/>
  <c r="N735" i="8"/>
  <c r="Q735" i="8" s="1"/>
  <c r="N740" i="8"/>
  <c r="Q740" i="8" s="1"/>
  <c r="N741" i="8"/>
  <c r="Q741" i="8" s="1"/>
  <c r="N742" i="8"/>
  <c r="Q742" i="8" s="1"/>
  <c r="N743" i="8"/>
  <c r="N744" i="8"/>
  <c r="Q744" i="8" s="1"/>
  <c r="N745" i="8"/>
  <c r="Q745" i="8" s="1"/>
  <c r="N739" i="8"/>
  <c r="M736" i="8"/>
  <c r="M732" i="8" s="1"/>
  <c r="L736" i="8"/>
  <c r="L732" i="8" s="1"/>
  <c r="N738" i="8"/>
  <c r="Q738" i="8" s="1"/>
  <c r="F738" i="8"/>
  <c r="H738" i="8" s="1"/>
  <c r="N737" i="8"/>
  <c r="F737" i="8"/>
  <c r="H737" i="8" s="1"/>
  <c r="N710" i="8"/>
  <c r="Q710" i="8" s="1"/>
  <c r="N711" i="8"/>
  <c r="N712" i="8"/>
  <c r="Q712" i="8" s="1"/>
  <c r="M713" i="8"/>
  <c r="M709" i="8" s="1"/>
  <c r="M707" i="8" s="1"/>
  <c r="L713" i="8"/>
  <c r="N722" i="8"/>
  <c r="P722" i="8" s="1"/>
  <c r="N715" i="8"/>
  <c r="N716" i="8"/>
  <c r="Q716" i="8" s="1"/>
  <c r="N717" i="8"/>
  <c r="Q717" i="8" s="1"/>
  <c r="N718" i="8"/>
  <c r="Q718" i="8" s="1"/>
  <c r="N719" i="8"/>
  <c r="Q719" i="8" s="1"/>
  <c r="N720" i="8"/>
  <c r="N721" i="8"/>
  <c r="Q721" i="8" s="1"/>
  <c r="N714" i="8"/>
  <c r="Q714" i="8" s="1"/>
  <c r="N723" i="8"/>
  <c r="Q723" i="8" s="1"/>
  <c r="N724" i="8"/>
  <c r="Q724" i="8" s="1"/>
  <c r="N725" i="8"/>
  <c r="Q725" i="8" s="1"/>
  <c r="N726" i="8"/>
  <c r="Q726" i="8" s="1"/>
  <c r="N727" i="8"/>
  <c r="Q727" i="8" s="1"/>
  <c r="N729" i="8"/>
  <c r="N687" i="8"/>
  <c r="Q687" i="8" s="1"/>
  <c r="N689" i="8"/>
  <c r="M690" i="8"/>
  <c r="M686" i="8" s="1"/>
  <c r="L690" i="8"/>
  <c r="N692" i="8"/>
  <c r="N693" i="8"/>
  <c r="N694" i="8"/>
  <c r="N695" i="8"/>
  <c r="N696" i="8"/>
  <c r="N697" i="8"/>
  <c r="N698" i="8"/>
  <c r="N691" i="8"/>
  <c r="N699" i="8"/>
  <c r="N700" i="8"/>
  <c r="N701" i="8"/>
  <c r="N702" i="8"/>
  <c r="N703" i="8"/>
  <c r="N705" i="8"/>
  <c r="N681" i="8"/>
  <c r="N682" i="8"/>
  <c r="N683" i="8"/>
  <c r="N679" i="8"/>
  <c r="M672" i="8"/>
  <c r="M668" i="8" s="1"/>
  <c r="L672" i="8"/>
  <c r="N674" i="8"/>
  <c r="N675" i="8"/>
  <c r="N676" i="8"/>
  <c r="N677" i="8"/>
  <c r="N678" i="8"/>
  <c r="N673" i="8"/>
  <c r="N669" i="8"/>
  <c r="Q669" i="8" s="1"/>
  <c r="N652" i="8"/>
  <c r="Q652" i="8" s="1"/>
  <c r="N653" i="8"/>
  <c r="Q653" i="8" s="1"/>
  <c r="N654" i="8"/>
  <c r="Q654" i="8" s="1"/>
  <c r="M655" i="8"/>
  <c r="M651" i="8" s="1"/>
  <c r="N658" i="8"/>
  <c r="N659" i="8"/>
  <c r="Q659" i="8" s="1"/>
  <c r="N660" i="8"/>
  <c r="Q660" i="8" s="1"/>
  <c r="N662" i="8"/>
  <c r="N663" i="8"/>
  <c r="N664" i="8"/>
  <c r="N665" i="8"/>
  <c r="L655" i="8"/>
  <c r="L651" i="8" s="1"/>
  <c r="N657" i="8"/>
  <c r="F657" i="8"/>
  <c r="H657" i="8" s="1"/>
  <c r="N656" i="8"/>
  <c r="Q656" i="8" s="1"/>
  <c r="F656" i="8"/>
  <c r="H656" i="8" s="1"/>
  <c r="N649" i="8"/>
  <c r="P649" i="8" s="1"/>
  <c r="P361" i="8" s="1"/>
  <c r="M638" i="8"/>
  <c r="M635" i="8" s="1"/>
  <c r="L638" i="8"/>
  <c r="N640" i="8"/>
  <c r="F640" i="8"/>
  <c r="H640" i="8" s="1"/>
  <c r="N639" i="8"/>
  <c r="F639" i="8"/>
  <c r="H639" i="8" s="1"/>
  <c r="N629" i="8"/>
  <c r="N628" i="8"/>
  <c r="M627" i="8"/>
  <c r="L627" i="8"/>
  <c r="N626" i="8"/>
  <c r="N619" i="8"/>
  <c r="N621" i="8"/>
  <c r="N622" i="8"/>
  <c r="N623" i="8"/>
  <c r="N624" i="8"/>
  <c r="N615" i="8"/>
  <c r="N597" i="8"/>
  <c r="N596" i="8"/>
  <c r="N600" i="8"/>
  <c r="Q600" i="8" s="1"/>
  <c r="N601" i="8"/>
  <c r="N602" i="8"/>
  <c r="Q602" i="8" s="1"/>
  <c r="N603" i="8"/>
  <c r="Q603" i="8" s="1"/>
  <c r="N604" i="8"/>
  <c r="Q604" i="8" s="1"/>
  <c r="N605" i="8"/>
  <c r="P605" i="8" s="1"/>
  <c r="N606" i="8"/>
  <c r="N599" i="8"/>
  <c r="P599" i="8" s="1"/>
  <c r="M598" i="8"/>
  <c r="M595" i="8" s="1"/>
  <c r="M593" i="8" s="1"/>
  <c r="L598" i="8"/>
  <c r="N607" i="8"/>
  <c r="Q607" i="8" s="1"/>
  <c r="N608" i="8"/>
  <c r="Q608" i="8" s="1"/>
  <c r="N609" i="8"/>
  <c r="N610" i="8"/>
  <c r="N611" i="8"/>
  <c r="Q611" i="8" s="1"/>
  <c r="N613" i="8"/>
  <c r="Q613" i="8" s="1"/>
  <c r="M572" i="8"/>
  <c r="M559" i="8"/>
  <c r="M556" i="8" s="1"/>
  <c r="N547" i="8"/>
  <c r="P547" i="8" s="1"/>
  <c r="P545" i="8" s="1"/>
  <c r="N546" i="8"/>
  <c r="Q546" i="8" s="1"/>
  <c r="M545" i="8"/>
  <c r="M541" i="8" s="1"/>
  <c r="L545" i="8"/>
  <c r="N517" i="8"/>
  <c r="M520" i="8"/>
  <c r="N522" i="8"/>
  <c r="N523" i="8"/>
  <c r="N524" i="8"/>
  <c r="N525" i="8"/>
  <c r="N526" i="8"/>
  <c r="N527" i="8"/>
  <c r="N528" i="8"/>
  <c r="N530" i="8"/>
  <c r="N532" i="8"/>
  <c r="N536" i="8"/>
  <c r="N537" i="8"/>
  <c r="N538" i="8"/>
  <c r="N493" i="8"/>
  <c r="Q493" i="8" s="1"/>
  <c r="N500" i="8"/>
  <c r="Q500" i="8" s="1"/>
  <c r="N501" i="8"/>
  <c r="Q501" i="8" s="1"/>
  <c r="N502" i="8"/>
  <c r="Q502" i="8" s="1"/>
  <c r="N503" i="8"/>
  <c r="Q503" i="8" s="1"/>
  <c r="N504" i="8"/>
  <c r="Q504" i="8" s="1"/>
  <c r="N497" i="8"/>
  <c r="N473" i="8"/>
  <c r="N476" i="8"/>
  <c r="P476" i="8" s="1"/>
  <c r="N477" i="8"/>
  <c r="P477" i="8" s="1"/>
  <c r="N475" i="8"/>
  <c r="P475" i="8" s="1"/>
  <c r="P474" i="8" s="1"/>
  <c r="P471" i="8" s="1"/>
  <c r="M474" i="8"/>
  <c r="M471" i="8" s="1"/>
  <c r="L474" i="8"/>
  <c r="N485" i="8"/>
  <c r="N488" i="8"/>
  <c r="N489" i="8"/>
  <c r="N481" i="8"/>
  <c r="N483" i="8"/>
  <c r="N484" i="8"/>
  <c r="M480" i="8"/>
  <c r="M444" i="8"/>
  <c r="M425" i="8" s="1"/>
  <c r="M423" i="8" s="1"/>
  <c r="L444" i="8"/>
  <c r="N445" i="8"/>
  <c r="N454" i="8"/>
  <c r="Q454" i="8" s="1"/>
  <c r="N455" i="8"/>
  <c r="Q455" i="8" s="1"/>
  <c r="N456" i="8"/>
  <c r="Q456" i="8" s="1"/>
  <c r="N457" i="8"/>
  <c r="Q457" i="8" s="1"/>
  <c r="N458" i="8"/>
  <c r="Q458" i="8" s="1"/>
  <c r="N459" i="8"/>
  <c r="Q459" i="8" s="1"/>
  <c r="N460" i="8"/>
  <c r="Q460" i="8" s="1"/>
  <c r="N461" i="8"/>
  <c r="Q461" i="8" s="1"/>
  <c r="N453" i="8"/>
  <c r="Q453" i="8" s="1"/>
  <c r="M452" i="8"/>
  <c r="M448" i="8" s="1"/>
  <c r="N449" i="8"/>
  <c r="Q449" i="8" s="1"/>
  <c r="N463" i="8"/>
  <c r="Q463" i="8" s="1"/>
  <c r="N465" i="8"/>
  <c r="Q465" i="8" s="1"/>
  <c r="N467" i="8"/>
  <c r="Q467" i="8" s="1"/>
  <c r="N468" i="8"/>
  <c r="Q468" i="8" s="1"/>
  <c r="N447" i="8"/>
  <c r="Q447" i="8" s="1"/>
  <c r="N405" i="8"/>
  <c r="Q405" i="8" s="1"/>
  <c r="N406" i="8"/>
  <c r="Q406" i="8" s="1"/>
  <c r="N407" i="8"/>
  <c r="Q407" i="8" s="1"/>
  <c r="N408" i="8"/>
  <c r="Q408" i="8" s="1"/>
  <c r="N409" i="8"/>
  <c r="Q409" i="8" s="1"/>
  <c r="N410" i="8"/>
  <c r="Q410" i="8" s="1"/>
  <c r="N411" i="8"/>
  <c r="Q411" i="8" s="1"/>
  <c r="N412" i="8"/>
  <c r="Q412" i="8" s="1"/>
  <c r="N413" i="8"/>
  <c r="Q413" i="8" s="1"/>
  <c r="N404" i="8"/>
  <c r="N418" i="8"/>
  <c r="Q418" i="8" s="1"/>
  <c r="N420" i="8"/>
  <c r="N421" i="8"/>
  <c r="N422" i="8"/>
  <c r="N417" i="8"/>
  <c r="Q417" i="8" s="1"/>
  <c r="N416" i="8"/>
  <c r="N415" i="8"/>
  <c r="N401" i="8"/>
  <c r="N402" i="8"/>
  <c r="N400" i="8"/>
  <c r="M403" i="8"/>
  <c r="M399" i="8" s="1"/>
  <c r="M430" i="8"/>
  <c r="M388" i="8"/>
  <c r="M386" i="8" s="1"/>
  <c r="N387" i="8"/>
  <c r="N380" i="8"/>
  <c r="Q380" i="8" s="1"/>
  <c r="N381" i="8"/>
  <c r="Q381" i="8" s="1"/>
  <c r="N383" i="8"/>
  <c r="Q383" i="8" s="1"/>
  <c r="N385" i="8"/>
  <c r="Q385" i="8" s="1"/>
  <c r="N379" i="8"/>
  <c r="Q379" i="8" s="1"/>
  <c r="N368" i="8"/>
  <c r="Q368" i="8" s="1"/>
  <c r="N371" i="8"/>
  <c r="Q371" i="8" s="1"/>
  <c r="N372" i="8"/>
  <c r="Q372" i="8" s="1"/>
  <c r="N373" i="8"/>
  <c r="Q373" i="8" s="1"/>
  <c r="N374" i="8"/>
  <c r="Q374" i="8" s="1"/>
  <c r="N375" i="8"/>
  <c r="Q375" i="8" s="1"/>
  <c r="N376" i="8"/>
  <c r="Q376" i="8" s="1"/>
  <c r="N377" i="8"/>
  <c r="Q377" i="8" s="1"/>
  <c r="N370" i="8"/>
  <c r="Q370" i="8" s="1"/>
  <c r="L369" i="8"/>
  <c r="M369" i="8"/>
  <c r="M367" i="8" s="1"/>
  <c r="N353" i="8"/>
  <c r="N354" i="8"/>
  <c r="N355" i="8"/>
  <c r="N352" i="8"/>
  <c r="N350" i="8"/>
  <c r="M344" i="8"/>
  <c r="N343" i="8"/>
  <c r="Q343" i="8" s="1"/>
  <c r="M342" i="8"/>
  <c r="N325" i="8"/>
  <c r="P325" i="8" s="1"/>
  <c r="N326" i="8"/>
  <c r="P326" i="8" s="1"/>
  <c r="N327" i="8"/>
  <c r="N328" i="8"/>
  <c r="N329" i="8"/>
  <c r="N312" i="8"/>
  <c r="P312" i="8" s="1"/>
  <c r="L314" i="8"/>
  <c r="N314" i="8" s="1"/>
  <c r="Q314" i="8" s="1"/>
  <c r="M307" i="8"/>
  <c r="M306" i="8" s="1"/>
  <c r="M305" i="8" s="1"/>
  <c r="L308" i="8"/>
  <c r="N308" i="8" s="1"/>
  <c r="P308" i="8" s="1"/>
  <c r="N300" i="8"/>
  <c r="P300" i="8" s="1"/>
  <c r="N301" i="8"/>
  <c r="P301" i="8" s="1"/>
  <c r="N299" i="8"/>
  <c r="P299" i="8" s="1"/>
  <c r="N304" i="8"/>
  <c r="P304" i="8" s="1"/>
  <c r="N302" i="8"/>
  <c r="Q302" i="8" s="1"/>
  <c r="M298" i="8"/>
  <c r="M297" i="8" s="1"/>
  <c r="M294" i="8" s="1"/>
  <c r="L298" i="8"/>
  <c r="N296" i="8"/>
  <c r="N279" i="8"/>
  <c r="N282" i="8"/>
  <c r="P282" i="8" s="1"/>
  <c r="P280" i="8" s="1"/>
  <c r="P278" i="8" s="1"/>
  <c r="N283" i="8"/>
  <c r="Q283" i="8" s="1"/>
  <c r="N284" i="8"/>
  <c r="Q284" i="8" s="1"/>
  <c r="N285" i="8"/>
  <c r="Q285" i="8" s="1"/>
  <c r="N287" i="8"/>
  <c r="P287" i="8" s="1"/>
  <c r="N281" i="8"/>
  <c r="M280" i="8"/>
  <c r="M278" i="8" s="1"/>
  <c r="N272" i="8"/>
  <c r="P272" i="8" s="1"/>
  <c r="N273" i="8"/>
  <c r="P273" i="8" s="1"/>
  <c r="N274" i="8"/>
  <c r="Q274" i="8" s="1"/>
  <c r="N275" i="8"/>
  <c r="P275" i="8" s="1"/>
  <c r="N277" i="8"/>
  <c r="P277" i="8" s="1"/>
  <c r="N271" i="8"/>
  <c r="P271" i="8" s="1"/>
  <c r="M270" i="8"/>
  <c r="M268" i="8" s="1"/>
  <c r="L270" i="8"/>
  <c r="L268" i="8" s="1"/>
  <c r="N269" i="8"/>
  <c r="O269" i="8" s="1"/>
  <c r="M244" i="8"/>
  <c r="M230" i="8"/>
  <c r="M229" i="8" s="1"/>
  <c r="M221" i="8"/>
  <c r="N220" i="8"/>
  <c r="N216" i="8"/>
  <c r="N217" i="8"/>
  <c r="Q217" i="8" s="1"/>
  <c r="N218" i="8"/>
  <c r="N215" i="8"/>
  <c r="L214" i="8"/>
  <c r="L212" i="8" s="1"/>
  <c r="N213" i="8"/>
  <c r="Q213" i="8" s="1"/>
  <c r="M214" i="8"/>
  <c r="M212" i="8" s="1"/>
  <c r="N211" i="8"/>
  <c r="M208" i="8"/>
  <c r="M202" i="8"/>
  <c r="M201" i="8" s="1"/>
  <c r="N204" i="8"/>
  <c r="Q204" i="8" s="1"/>
  <c r="N205" i="8"/>
  <c r="Q205" i="8" s="1"/>
  <c r="N206" i="8"/>
  <c r="Q206" i="8" s="1"/>
  <c r="N203" i="8"/>
  <c r="M194" i="8"/>
  <c r="M192" i="8" s="1"/>
  <c r="K194" i="8"/>
  <c r="N183" i="8"/>
  <c r="N179" i="8" s="1"/>
  <c r="N174" i="8"/>
  <c r="M181" i="8"/>
  <c r="M175" i="8" s="1"/>
  <c r="L181" i="8"/>
  <c r="L175" i="8" s="1"/>
  <c r="K173" i="8"/>
  <c r="K167" i="8" s="1"/>
  <c r="L173" i="8"/>
  <c r="L167" i="8" s="1"/>
  <c r="M173" i="8"/>
  <c r="M167" i="8" s="1"/>
  <c r="J173" i="8"/>
  <c r="M165" i="8"/>
  <c r="N164" i="8"/>
  <c r="Q164" i="8" s="1"/>
  <c r="N163" i="8"/>
  <c r="Q163" i="8" s="1"/>
  <c r="N161" i="8"/>
  <c r="M160" i="8"/>
  <c r="N155" i="8"/>
  <c r="Q155" i="8" s="1"/>
  <c r="N149" i="8"/>
  <c r="Q149" i="8" s="1"/>
  <c r="N137" i="8"/>
  <c r="N138" i="8"/>
  <c r="Q138" i="8" s="1"/>
  <c r="N136" i="8"/>
  <c r="Q136" i="8" s="1"/>
  <c r="N124" i="8"/>
  <c r="M140" i="8"/>
  <c r="M135" i="8" s="1"/>
  <c r="N127" i="8"/>
  <c r="N128" i="8"/>
  <c r="Q128" i="8" s="1"/>
  <c r="N129" i="8"/>
  <c r="Q129" i="8" s="1"/>
  <c r="N130" i="8"/>
  <c r="N131" i="8"/>
  <c r="Q131" i="8" s="1"/>
  <c r="N132" i="8"/>
  <c r="P132" i="8" s="1"/>
  <c r="N126" i="8"/>
  <c r="Q126" i="8" s="1"/>
  <c r="M96" i="8"/>
  <c r="M92" i="8"/>
  <c r="M75" i="8" s="1"/>
  <c r="L69" i="8"/>
  <c r="N69" i="8" s="1"/>
  <c r="Q69" i="8" s="1"/>
  <c r="M56" i="8"/>
  <c r="M47" i="8"/>
  <c r="N22" i="8"/>
  <c r="N32" i="8"/>
  <c r="M5" i="8"/>
  <c r="Q1190" i="8" l="1"/>
  <c r="N1189" i="8"/>
  <c r="P313" i="8"/>
  <c r="P311" i="8" s="1"/>
  <c r="O957" i="8"/>
  <c r="Q1550" i="8"/>
  <c r="N1430" i="8"/>
  <c r="N1428" i="8" s="1"/>
  <c r="N202" i="8"/>
  <c r="N201" i="8" s="1"/>
  <c r="O961" i="8"/>
  <c r="Q1068" i="8"/>
  <c r="Q628" i="8"/>
  <c r="O628" i="8"/>
  <c r="P926" i="8"/>
  <c r="P924" i="8" s="1"/>
  <c r="O926" i="8"/>
  <c r="O924" i="8" s="1"/>
  <c r="P941" i="8"/>
  <c r="P938" i="8" s="1"/>
  <c r="P936" i="8" s="1"/>
  <c r="O941" i="8"/>
  <c r="O938" i="8" s="1"/>
  <c r="O936" i="8" s="1"/>
  <c r="Q629" i="8"/>
  <c r="O629" i="8"/>
  <c r="O264" i="8"/>
  <c r="O268" i="8"/>
  <c r="O262" i="8" s="1"/>
  <c r="P362" i="8"/>
  <c r="P110" i="8" s="1"/>
  <c r="P1655" i="8"/>
  <c r="Q1567" i="8"/>
  <c r="Q1562" i="8"/>
  <c r="Q1561" i="8"/>
  <c r="Q1563" i="8"/>
  <c r="Q1560" i="8"/>
  <c r="Q1559" i="8"/>
  <c r="Q1558" i="8"/>
  <c r="Q1574" i="8"/>
  <c r="Q1556" i="8"/>
  <c r="Q1583" i="8"/>
  <c r="Q1578" i="8"/>
  <c r="Q1570" i="8"/>
  <c r="N1538" i="8"/>
  <c r="Q1542" i="8"/>
  <c r="Q1540" i="8"/>
  <c r="Q1541" i="8"/>
  <c r="Q1534" i="8"/>
  <c r="N1477" i="8"/>
  <c r="Q1497" i="8"/>
  <c r="Q1513" i="8"/>
  <c r="Q1486" i="8"/>
  <c r="Q1494" i="8"/>
  <c r="P1489" i="8"/>
  <c r="P1488" i="8" s="1"/>
  <c r="Q1493" i="8"/>
  <c r="Q1490" i="8"/>
  <c r="N1456" i="8"/>
  <c r="Q1495" i="8"/>
  <c r="Q1487" i="8"/>
  <c r="Q211" i="8"/>
  <c r="N209" i="8"/>
  <c r="P290" i="8"/>
  <c r="Q32" i="8"/>
  <c r="Q22" i="8"/>
  <c r="Q1336" i="8"/>
  <c r="N957" i="8"/>
  <c r="Q1305" i="8"/>
  <c r="Q1347" i="8"/>
  <c r="Q1346" i="8"/>
  <c r="Q1345" i="8"/>
  <c r="Q1344" i="8"/>
  <c r="P1342" i="8"/>
  <c r="Q1342" i="8" s="1"/>
  <c r="P1424" i="8"/>
  <c r="Q1424" i="8" s="1"/>
  <c r="Q1421" i="8"/>
  <c r="Q1419" i="8"/>
  <c r="P1417" i="8"/>
  <c r="P1412" i="8" s="1"/>
  <c r="Q1425" i="8"/>
  <c r="P1372" i="8"/>
  <c r="Q1468" i="8"/>
  <c r="Q1472" i="8"/>
  <c r="P1288" i="8"/>
  <c r="P1269" i="8" s="1"/>
  <c r="P1267" i="8" s="1"/>
  <c r="P1365" i="8"/>
  <c r="Q1458" i="8"/>
  <c r="P1364" i="8"/>
  <c r="P1369" i="8"/>
  <c r="Q963" i="8"/>
  <c r="Q387" i="8"/>
  <c r="Q350" i="8"/>
  <c r="N348" i="8"/>
  <c r="N345" i="8" s="1"/>
  <c r="Q312" i="8"/>
  <c r="N290" i="8"/>
  <c r="Q296" i="8"/>
  <c r="N291" i="8"/>
  <c r="Q291" i="8" s="1"/>
  <c r="P264" i="8"/>
  <c r="N264" i="8"/>
  <c r="Q279" i="8"/>
  <c r="N265" i="8"/>
  <c r="P216" i="8"/>
  <c r="Q216" i="8" s="1"/>
  <c r="Q220" i="8"/>
  <c r="N191" i="8"/>
  <c r="P215" i="8"/>
  <c r="P218" i="8"/>
  <c r="Q218" i="8" s="1"/>
  <c r="Q183" i="8"/>
  <c r="P174" i="8"/>
  <c r="P173" i="8" s="1"/>
  <c r="N171" i="8"/>
  <c r="N168" i="8" s="1"/>
  <c r="Q161" i="8"/>
  <c r="Q124" i="8"/>
  <c r="Q1441" i="8"/>
  <c r="Q1440" i="8"/>
  <c r="Q1439" i="8"/>
  <c r="Q1438" i="8"/>
  <c r="Q1437" i="8"/>
  <c r="P1399" i="8"/>
  <c r="P1353" i="8"/>
  <c r="P1355" i="8"/>
  <c r="Q1355" i="8" s="1"/>
  <c r="Q1091" i="8"/>
  <c r="Q1092" i="8"/>
  <c r="P1074" i="8"/>
  <c r="P1073" i="8" s="1"/>
  <c r="P1071" i="8" s="1"/>
  <c r="Q1093" i="8"/>
  <c r="Q1095" i="8"/>
  <c r="Q1094" i="8"/>
  <c r="P1056" i="8"/>
  <c r="P1046" i="8" s="1"/>
  <c r="P1043" i="8" s="1"/>
  <c r="P1040" i="8" s="1"/>
  <c r="Q1066" i="8"/>
  <c r="Q1064" i="8"/>
  <c r="Q1005" i="8"/>
  <c r="Q953" i="8"/>
  <c r="Q952" i="8"/>
  <c r="P935" i="8"/>
  <c r="P930" i="8" s="1"/>
  <c r="P929" i="8" s="1"/>
  <c r="P927" i="8" s="1"/>
  <c r="P822" i="8"/>
  <c r="P820" i="8" s="1"/>
  <c r="P859" i="8"/>
  <c r="Q867" i="8"/>
  <c r="P866" i="8"/>
  <c r="Q866" i="8" s="1"/>
  <c r="Q815" i="8"/>
  <c r="Q816" i="8"/>
  <c r="P813" i="8"/>
  <c r="Q813" i="8" s="1"/>
  <c r="P774" i="8"/>
  <c r="Q811" i="8"/>
  <c r="P807" i="8"/>
  <c r="Q801" i="8"/>
  <c r="Q803" i="8"/>
  <c r="P812" i="8"/>
  <c r="Q812" i="8" s="1"/>
  <c r="P814" i="8"/>
  <c r="Q814" i="8" s="1"/>
  <c r="P799" i="8"/>
  <c r="Q799" i="8" s="1"/>
  <c r="P819" i="8"/>
  <c r="Q819" i="8" s="1"/>
  <c r="P798" i="8"/>
  <c r="Q798" i="8" s="1"/>
  <c r="Q818" i="8"/>
  <c r="P715" i="8"/>
  <c r="P713" i="8" s="1"/>
  <c r="Q769" i="8"/>
  <c r="Q759" i="8"/>
  <c r="Q729" i="8"/>
  <c r="Q768" i="8"/>
  <c r="P743" i="8"/>
  <c r="Q743" i="8" s="1"/>
  <c r="Q739" i="8"/>
  <c r="Q764" i="8"/>
  <c r="P734" i="8"/>
  <c r="P756" i="8"/>
  <c r="P698" i="8"/>
  <c r="P691" i="8"/>
  <c r="P697" i="8"/>
  <c r="P696" i="8"/>
  <c r="P695" i="8"/>
  <c r="Q705" i="8"/>
  <c r="P703" i="8"/>
  <c r="P702" i="8"/>
  <c r="Q701" i="8"/>
  <c r="Q700" i="8"/>
  <c r="Q689" i="8"/>
  <c r="Q699" i="8"/>
  <c r="Q679" i="8"/>
  <c r="Q683" i="8"/>
  <c r="Q682" i="8"/>
  <c r="Q681" i="8"/>
  <c r="Q678" i="8"/>
  <c r="Q677" i="8"/>
  <c r="Q676" i="8"/>
  <c r="Q675" i="8"/>
  <c r="Q674" i="8"/>
  <c r="P655" i="8"/>
  <c r="Q665" i="8"/>
  <c r="Q664" i="8"/>
  <c r="Q663" i="8"/>
  <c r="Q662" i="8"/>
  <c r="P658" i="8"/>
  <c r="Q658" i="8" s="1"/>
  <c r="P638" i="8"/>
  <c r="Q596" i="8"/>
  <c r="P626" i="8"/>
  <c r="Q626" i="8" s="1"/>
  <c r="Q615" i="8"/>
  <c r="Q609" i="8"/>
  <c r="P623" i="8"/>
  <c r="Q623" i="8" s="1"/>
  <c r="P622" i="8"/>
  <c r="P601" i="8"/>
  <c r="Q601" i="8" s="1"/>
  <c r="Q619" i="8"/>
  <c r="Q523" i="8"/>
  <c r="Q522" i="8"/>
  <c r="Q538" i="8"/>
  <c r="Q537" i="8"/>
  <c r="Q517" i="8"/>
  <c r="Q536" i="8"/>
  <c r="Q524" i="8"/>
  <c r="Q532" i="8"/>
  <c r="Q530" i="8"/>
  <c r="Q497" i="8"/>
  <c r="Q528" i="8"/>
  <c r="Q526" i="8"/>
  <c r="Q525" i="8"/>
  <c r="Q484" i="8"/>
  <c r="P488" i="8"/>
  <c r="P489" i="8"/>
  <c r="Q489" i="8" s="1"/>
  <c r="P420" i="8"/>
  <c r="Q420" i="8" s="1"/>
  <c r="P403" i="8"/>
  <c r="P402" i="8"/>
  <c r="Q402" i="8" s="1"/>
  <c r="P401" i="8"/>
  <c r="P415" i="8"/>
  <c r="P416" i="8"/>
  <c r="Q416" i="8" s="1"/>
  <c r="P422" i="8"/>
  <c r="Q422" i="8" s="1"/>
  <c r="Q421" i="8"/>
  <c r="N1297" i="8"/>
  <c r="Q1297" i="8" s="1"/>
  <c r="Q1298" i="8"/>
  <c r="P270" i="8"/>
  <c r="P268" i="8" s="1"/>
  <c r="P298" i="8"/>
  <c r="P181" i="8"/>
  <c r="P125" i="8"/>
  <c r="N173" i="8"/>
  <c r="N167" i="8" s="1"/>
  <c r="N160" i="8"/>
  <c r="Q160" i="8" s="1"/>
  <c r="M262" i="8"/>
  <c r="M8" i="8"/>
  <c r="N1426" i="8"/>
  <c r="Q1426" i="8" s="1"/>
  <c r="N1547" i="8"/>
  <c r="Q1547" i="8" s="1"/>
  <c r="N1533" i="8"/>
  <c r="Q1533" i="8" s="1"/>
  <c r="N1496" i="8"/>
  <c r="Q1496" i="8" s="1"/>
  <c r="N1586" i="8"/>
  <c r="Q1586" i="8" s="1"/>
  <c r="N1067" i="8"/>
  <c r="Q1067" i="8" s="1"/>
  <c r="Q1189" i="8"/>
  <c r="N1348" i="8"/>
  <c r="Q1348" i="8" s="1"/>
  <c r="N942" i="8"/>
  <c r="Q942" i="8" s="1"/>
  <c r="N444" i="8"/>
  <c r="N344" i="8"/>
  <c r="N342" i="8"/>
  <c r="Q342" i="8" s="1"/>
  <c r="N1746" i="8"/>
  <c r="Q1746" i="8" s="1"/>
  <c r="L1667" i="8"/>
  <c r="Q1668" i="8"/>
  <c r="N1668" i="8"/>
  <c r="N1667" i="8" s="1"/>
  <c r="M1593" i="8"/>
  <c r="M1747" i="8"/>
  <c r="N1412" i="8"/>
  <c r="N1498" i="8"/>
  <c r="N1306" i="8"/>
  <c r="Q1306" i="8" s="1"/>
  <c r="N1379" i="8"/>
  <c r="Q1379" i="8" s="1"/>
  <c r="N1535" i="8"/>
  <c r="Q1535" i="8" s="1"/>
  <c r="M1511" i="8"/>
  <c r="N1324" i="8"/>
  <c r="Q1324" i="8" s="1"/>
  <c r="M1456" i="8"/>
  <c r="M1408" i="8"/>
  <c r="M1392" i="8"/>
  <c r="M1360" i="8"/>
  <c r="N1101" i="8"/>
  <c r="Q1101" i="8" s="1"/>
  <c r="N1273" i="8"/>
  <c r="Q1273" i="8" s="1"/>
  <c r="M1259" i="8"/>
  <c r="M1251" i="8"/>
  <c r="M1227" i="8"/>
  <c r="M1225" i="8" s="1"/>
  <c r="M1147" i="8"/>
  <c r="M1120" i="8"/>
  <c r="N808" i="8"/>
  <c r="N930" i="8"/>
  <c r="N1046" i="8"/>
  <c r="N946" i="8"/>
  <c r="M1096" i="8"/>
  <c r="M1014" i="8"/>
  <c r="M991" i="8"/>
  <c r="M988" i="8" s="1"/>
  <c r="M964" i="8"/>
  <c r="M961" i="8" s="1"/>
  <c r="N938" i="8"/>
  <c r="N777" i="8"/>
  <c r="Q777" i="8" s="1"/>
  <c r="N924" i="8"/>
  <c r="N825" i="8"/>
  <c r="N858" i="8"/>
  <c r="M875" i="8"/>
  <c r="N749" i="8"/>
  <c r="Q749" i="8" s="1"/>
  <c r="N791" i="8"/>
  <c r="Q791" i="8" s="1"/>
  <c r="N638" i="8"/>
  <c r="N162" i="8"/>
  <c r="Q162" i="8" s="1"/>
  <c r="N655" i="8"/>
  <c r="N736" i="8"/>
  <c r="Q736" i="8" s="1"/>
  <c r="N756" i="8"/>
  <c r="M750" i="8"/>
  <c r="N672" i="8"/>
  <c r="N713" i="8"/>
  <c r="N690" i="8"/>
  <c r="M684" i="8"/>
  <c r="M666" i="8"/>
  <c r="N298" i="8"/>
  <c r="N267" i="8" s="1"/>
  <c r="N369" i="8"/>
  <c r="Q369" i="8" s="1"/>
  <c r="M648" i="8"/>
  <c r="N598" i="8"/>
  <c r="N474" i="8"/>
  <c r="N627" i="8"/>
  <c r="Q627" i="8" s="1"/>
  <c r="M616" i="8"/>
  <c r="M614" i="8" s="1"/>
  <c r="M570" i="8"/>
  <c r="N545" i="8"/>
  <c r="Q545" i="8" s="1"/>
  <c r="N214" i="8"/>
  <c r="M539" i="8"/>
  <c r="M516" i="8"/>
  <c r="M514" i="8" s="1"/>
  <c r="M490" i="8"/>
  <c r="M478" i="8"/>
  <c r="N403" i="8"/>
  <c r="N452" i="8"/>
  <c r="Q452" i="8" s="1"/>
  <c r="M428" i="8"/>
  <c r="M397" i="8"/>
  <c r="M365" i="8"/>
  <c r="N313" i="8"/>
  <c r="M313" i="8"/>
  <c r="M311" i="8" s="1"/>
  <c r="M288" i="8" s="1"/>
  <c r="N280" i="8"/>
  <c r="N125" i="8"/>
  <c r="N181" i="8"/>
  <c r="N270" i="8"/>
  <c r="M133" i="8"/>
  <c r="L134" i="8"/>
  <c r="N134" i="8" s="1"/>
  <c r="Q134" i="8" s="1"/>
  <c r="M123" i="8"/>
  <c r="L125" i="8"/>
  <c r="L123" i="8" s="1"/>
  <c r="K96" i="8"/>
  <c r="L97" i="8"/>
  <c r="N97" i="8" s="1"/>
  <c r="Q97" i="8" s="1"/>
  <c r="L94" i="8"/>
  <c r="N94" i="8" s="1"/>
  <c r="Q94" i="8" s="1"/>
  <c r="J96" i="8"/>
  <c r="I92" i="8"/>
  <c r="J92" i="8"/>
  <c r="K92" i="8"/>
  <c r="E92" i="8"/>
  <c r="F92" i="8" s="1"/>
  <c r="D76" i="8"/>
  <c r="E76" i="8"/>
  <c r="G76" i="8"/>
  <c r="G75" i="8" s="1"/>
  <c r="I76" i="8"/>
  <c r="K76" i="8"/>
  <c r="J76" i="8"/>
  <c r="P267" i="8" l="1"/>
  <c r="P112" i="8" s="1"/>
  <c r="P297" i="8"/>
  <c r="P294" i="8" s="1"/>
  <c r="Q488" i="8"/>
  <c r="P480" i="8"/>
  <c r="P478" i="8" s="1"/>
  <c r="P214" i="8"/>
  <c r="P212" i="8" s="1"/>
  <c r="P1477" i="8"/>
  <c r="P399" i="8"/>
  <c r="P397" i="8" s="1"/>
  <c r="Q924" i="8"/>
  <c r="O363" i="8"/>
  <c r="O1067" i="8"/>
  <c r="O955" i="8" s="1"/>
  <c r="O959" i="8"/>
  <c r="O956" i="8" s="1"/>
  <c r="O627" i="8"/>
  <c r="O359" i="8" s="1"/>
  <c r="O362" i="8"/>
  <c r="O110" i="8" s="1"/>
  <c r="Q938" i="8"/>
  <c r="O109" i="8"/>
  <c r="O263" i="8"/>
  <c r="P1394" i="8"/>
  <c r="P1392" i="8" s="1"/>
  <c r="Q1341" i="8"/>
  <c r="P1337" i="8"/>
  <c r="P1334" i="8" s="1"/>
  <c r="Q290" i="8"/>
  <c r="P109" i="8"/>
  <c r="N208" i="8"/>
  <c r="Q208" i="8" s="1"/>
  <c r="Q209" i="8"/>
  <c r="Q191" i="8"/>
  <c r="R191" i="8"/>
  <c r="Q313" i="8"/>
  <c r="Q1538" i="8"/>
  <c r="Q1498" i="8"/>
  <c r="Q1539" i="8"/>
  <c r="Q1499" i="8"/>
  <c r="Q1512" i="8"/>
  <c r="Q1477" i="8"/>
  <c r="Q1489" i="8"/>
  <c r="Q1478" i="8"/>
  <c r="Q202" i="8"/>
  <c r="Q1456" i="8"/>
  <c r="Q797" i="8"/>
  <c r="P787" i="8"/>
  <c r="P785" i="8" s="1"/>
  <c r="P651" i="8"/>
  <c r="P648" i="8" s="1"/>
  <c r="Q957" i="8"/>
  <c r="R957" i="8"/>
  <c r="P344" i="8"/>
  <c r="Q344" i="8" s="1"/>
  <c r="P348" i="8"/>
  <c r="P345" i="8" s="1"/>
  <c r="Q1339" i="8"/>
  <c r="P1302" i="8"/>
  <c r="P1299" i="8" s="1"/>
  <c r="Q1303" i="8"/>
  <c r="Q1412" i="8"/>
  <c r="Q1288" i="8"/>
  <c r="P1363" i="8"/>
  <c r="P1362" i="8" s="1"/>
  <c r="P1360" i="8" s="1"/>
  <c r="Q1042" i="8"/>
  <c r="N266" i="8"/>
  <c r="N263" i="8" s="1"/>
  <c r="P266" i="8"/>
  <c r="P263" i="8" s="1"/>
  <c r="Q215" i="8"/>
  <c r="N176" i="8"/>
  <c r="Q176" i="8" s="1"/>
  <c r="Q179" i="8"/>
  <c r="P171" i="8"/>
  <c r="N120" i="8"/>
  <c r="Q1435" i="8"/>
  <c r="P1376" i="8"/>
  <c r="P1374" i="8" s="1"/>
  <c r="Q1399" i="8"/>
  <c r="Q1387" i="8"/>
  <c r="Q1353" i="8"/>
  <c r="P1352" i="8"/>
  <c r="P1350" i="8" s="1"/>
  <c r="Q1046" i="8"/>
  <c r="Q1074" i="8"/>
  <c r="Q1056" i="8"/>
  <c r="P946" i="8"/>
  <c r="P944" i="8" s="1"/>
  <c r="Q950" i="8"/>
  <c r="Q930" i="8"/>
  <c r="Q931" i="8"/>
  <c r="P804" i="8"/>
  <c r="P802" i="8" s="1"/>
  <c r="P858" i="8"/>
  <c r="Q859" i="8"/>
  <c r="Q807" i="8"/>
  <c r="Q713" i="8"/>
  <c r="P752" i="8"/>
  <c r="P750" i="8" s="1"/>
  <c r="Q808" i="8"/>
  <c r="Q805" i="8"/>
  <c r="Q774" i="8"/>
  <c r="Q757" i="8"/>
  <c r="P732" i="8"/>
  <c r="P730" i="8" s="1"/>
  <c r="Q734" i="8"/>
  <c r="Q756" i="8"/>
  <c r="Q753" i="8"/>
  <c r="P709" i="8"/>
  <c r="P707" i="8" s="1"/>
  <c r="Q715" i="8"/>
  <c r="P690" i="8"/>
  <c r="Q638" i="8"/>
  <c r="Q655" i="8"/>
  <c r="P616" i="8"/>
  <c r="P614" i="8" s="1"/>
  <c r="P672" i="8"/>
  <c r="Q673" i="8"/>
  <c r="Q657" i="8"/>
  <c r="P598" i="8"/>
  <c r="Q598" i="8" s="1"/>
  <c r="Q639" i="8"/>
  <c r="Q617" i="8"/>
  <c r="Q403" i="8"/>
  <c r="Q444" i="8"/>
  <c r="Q270" i="8"/>
  <c r="Q404" i="8"/>
  <c r="Q445" i="8"/>
  <c r="Q401" i="8"/>
  <c r="Q400" i="8"/>
  <c r="N822" i="8"/>
  <c r="Q822" i="8" s="1"/>
  <c r="Q825" i="8"/>
  <c r="Q181" i="8"/>
  <c r="Q280" i="8"/>
  <c r="P167" i="8"/>
  <c r="Q125" i="8"/>
  <c r="P123" i="8"/>
  <c r="P175" i="8"/>
  <c r="N297" i="8"/>
  <c r="M117" i="8"/>
  <c r="N804" i="8"/>
  <c r="N1043" i="8"/>
  <c r="Q1043" i="8" s="1"/>
  <c r="N936" i="8"/>
  <c r="Q936" i="8" s="1"/>
  <c r="N651" i="8"/>
  <c r="N732" i="8"/>
  <c r="N748" i="8"/>
  <c r="Q748" i="8" s="1"/>
  <c r="N929" i="8"/>
  <c r="Q929" i="8" s="1"/>
  <c r="N1321" i="8"/>
  <c r="Q1321" i="8" s="1"/>
  <c r="N787" i="8"/>
  <c r="N399" i="8"/>
  <c r="N123" i="8"/>
  <c r="N367" i="8"/>
  <c r="N278" i="8"/>
  <c r="N212" i="8"/>
  <c r="N268" i="8"/>
  <c r="N311" i="8"/>
  <c r="Q311" i="8" s="1"/>
  <c r="N175" i="8"/>
  <c r="O111" i="8" l="1"/>
  <c r="O108" i="8" s="1"/>
  <c r="O360" i="8"/>
  <c r="Q120" i="8"/>
  <c r="Q268" i="8"/>
  <c r="Q212" i="8"/>
  <c r="Q214" i="8"/>
  <c r="Q367" i="8"/>
  <c r="N294" i="8"/>
  <c r="Q123" i="8"/>
  <c r="P168" i="8"/>
  <c r="Q1428" i="8"/>
  <c r="Q1430" i="8"/>
  <c r="Q672" i="8"/>
  <c r="P668" i="8"/>
  <c r="P666" i="8" s="1"/>
  <c r="Q946" i="8"/>
  <c r="Q787" i="8"/>
  <c r="Q858" i="8"/>
  <c r="Q651" i="8"/>
  <c r="Q804" i="8"/>
  <c r="Q732" i="8"/>
  <c r="Q690" i="8"/>
  <c r="P595" i="8"/>
  <c r="P593" i="8" s="1"/>
  <c r="N820" i="8"/>
  <c r="Q820" i="8" s="1"/>
  <c r="Q278" i="8"/>
  <c r="Q399" i="8"/>
  <c r="Q297" i="8"/>
  <c r="Q175" i="8"/>
  <c r="P262" i="8"/>
  <c r="N262" i="8"/>
  <c r="N1040" i="8"/>
  <c r="Q1040" i="8" s="1"/>
  <c r="N785" i="8"/>
  <c r="Q785" i="8" s="1"/>
  <c r="N927" i="8"/>
  <c r="Q927" i="8" s="1"/>
  <c r="N802" i="8"/>
  <c r="Q802" i="8" s="1"/>
  <c r="M104" i="8"/>
  <c r="D56" i="8"/>
  <c r="E56" i="8"/>
  <c r="K56" i="8"/>
  <c r="J56" i="8"/>
  <c r="I56" i="8"/>
  <c r="G56" i="8"/>
  <c r="E38" i="8"/>
  <c r="F38" i="8" s="1"/>
  <c r="G38" i="8"/>
  <c r="I38" i="8"/>
  <c r="L40" i="8"/>
  <c r="N40" i="8" s="1"/>
  <c r="Q40" i="8" s="1"/>
  <c r="J47" i="8"/>
  <c r="K47" i="8"/>
  <c r="I47" i="8"/>
  <c r="J38" i="8"/>
  <c r="K38" i="8"/>
  <c r="L15" i="8"/>
  <c r="N15" i="8" s="1"/>
  <c r="F15" i="8"/>
  <c r="H15" i="8" s="1"/>
  <c r="L14" i="8"/>
  <c r="N14" i="8" s="1"/>
  <c r="F14" i="8"/>
  <c r="H14" i="8" s="1"/>
  <c r="L13" i="8"/>
  <c r="N13" i="8" s="1"/>
  <c r="F13" i="8"/>
  <c r="H13" i="8" s="1"/>
  <c r="J10" i="8"/>
  <c r="K10" i="8"/>
  <c r="I10" i="8"/>
  <c r="L12" i="8"/>
  <c r="N12" i="8" s="1"/>
  <c r="F12" i="8"/>
  <c r="H12" i="8" s="1"/>
  <c r="L11" i="8"/>
  <c r="N11" i="8" s="1"/>
  <c r="F11" i="8"/>
  <c r="H11" i="8" s="1"/>
  <c r="L1595" i="8"/>
  <c r="Q12" i="8" l="1"/>
  <c r="Q11" i="8"/>
  <c r="Q13" i="8"/>
  <c r="Q14" i="8"/>
  <c r="Q15" i="8"/>
  <c r="Q262" i="8"/>
  <c r="Q294" i="8"/>
  <c r="N1595" i="8"/>
  <c r="H38" i="8"/>
  <c r="L1286" i="8"/>
  <c r="N1286" i="8" s="1"/>
  <c r="Q1286" i="8" s="1"/>
  <c r="Q1595" i="8" l="1"/>
  <c r="L469" i="8"/>
  <c r="N469" i="8" s="1"/>
  <c r="Q469" i="8" s="1"/>
  <c r="L464" i="8"/>
  <c r="L472" i="8"/>
  <c r="K471" i="8"/>
  <c r="K313" i="8"/>
  <c r="K773" i="8"/>
  <c r="L784" i="8"/>
  <c r="L770" i="8"/>
  <c r="K752" i="8"/>
  <c r="K709" i="8"/>
  <c r="L728" i="8"/>
  <c r="L706" i="8"/>
  <c r="K686" i="8"/>
  <c r="K668" i="8"/>
  <c r="L680" i="8"/>
  <c r="N680" i="8" s="1"/>
  <c r="L232" i="8"/>
  <c r="K230" i="8"/>
  <c r="K229" i="8" s="1"/>
  <c r="N668" i="8" l="1"/>
  <c r="Q668" i="8" s="1"/>
  <c r="Q680" i="8"/>
  <c r="N784" i="8"/>
  <c r="P773" i="8" s="1"/>
  <c r="P771" i="8" s="1"/>
  <c r="L773" i="8"/>
  <c r="N770" i="8"/>
  <c r="L752" i="8"/>
  <c r="N728" i="8"/>
  <c r="Q728" i="8" s="1"/>
  <c r="L709" i="8"/>
  <c r="N706" i="8"/>
  <c r="L686" i="8"/>
  <c r="N472" i="8"/>
  <c r="L471" i="8"/>
  <c r="N464" i="8"/>
  <c r="Q464" i="8" s="1"/>
  <c r="N232" i="8"/>
  <c r="Q232" i="8" s="1"/>
  <c r="L230" i="8"/>
  <c r="K1352" i="8"/>
  <c r="L1356" i="8"/>
  <c r="L1313" i="8"/>
  <c r="L1423" i="8"/>
  <c r="N1423" i="8" s="1"/>
  <c r="K1410" i="8"/>
  <c r="K1408" i="8" s="1"/>
  <c r="L1366" i="8"/>
  <c r="K1363" i="8"/>
  <c r="P1410" i="8" l="1"/>
  <c r="P1408" i="8" s="1"/>
  <c r="Q472" i="8"/>
  <c r="P686" i="8"/>
  <c r="P684" i="8" s="1"/>
  <c r="N686" i="8"/>
  <c r="Q706" i="8"/>
  <c r="N752" i="8"/>
  <c r="Q752" i="8" s="1"/>
  <c r="Q770" i="8"/>
  <c r="N773" i="8"/>
  <c r="Q773" i="8" s="1"/>
  <c r="Q784" i="8"/>
  <c r="N448" i="8"/>
  <c r="Q448" i="8" s="1"/>
  <c r="N1410" i="8"/>
  <c r="N709" i="8"/>
  <c r="Q709" i="8" s="1"/>
  <c r="N230" i="8"/>
  <c r="Q230" i="8" s="1"/>
  <c r="N471" i="8"/>
  <c r="Q471" i="8" s="1"/>
  <c r="L1363" i="8"/>
  <c r="N1366" i="8"/>
  <c r="N1356" i="8"/>
  <c r="Q1356" i="8" s="1"/>
  <c r="L1352" i="8"/>
  <c r="N1313" i="8"/>
  <c r="Q1313" i="8" s="1"/>
  <c r="L1302" i="8"/>
  <c r="J1302" i="8"/>
  <c r="J135" i="8"/>
  <c r="J133" i="8" s="1"/>
  <c r="L1009" i="8"/>
  <c r="N1009" i="8" s="1"/>
  <c r="Q1009" i="8" s="1"/>
  <c r="L1010" i="8"/>
  <c r="N1010" i="8" s="1"/>
  <c r="Q1010" i="8" s="1"/>
  <c r="L1011" i="8"/>
  <c r="N1011" i="8" s="1"/>
  <c r="Q1011" i="8" s="1"/>
  <c r="L1012" i="8"/>
  <c r="N1012" i="8" s="1"/>
  <c r="Q1012" i="8" s="1"/>
  <c r="L1013" i="8"/>
  <c r="N1013" i="8" s="1"/>
  <c r="Q1013" i="8" s="1"/>
  <c r="L1008" i="8"/>
  <c r="N1008" i="8" s="1"/>
  <c r="Q1008" i="8" s="1"/>
  <c r="L995" i="8"/>
  <c r="L996" i="8"/>
  <c r="N996" i="8" s="1"/>
  <c r="Q996" i="8" s="1"/>
  <c r="L997" i="8"/>
  <c r="N997" i="8" s="1"/>
  <c r="Q997" i="8" s="1"/>
  <c r="L998" i="8"/>
  <c r="N998" i="8" s="1"/>
  <c r="Q998" i="8" s="1"/>
  <c r="L999" i="8"/>
  <c r="L1000" i="8"/>
  <c r="Q1000" i="8" s="1"/>
  <c r="L1001" i="8"/>
  <c r="Q1001" i="8" s="1"/>
  <c r="L1002" i="8"/>
  <c r="N1002" i="8" s="1"/>
  <c r="L1003" i="8"/>
  <c r="N1003" i="8" s="1"/>
  <c r="Q1003" i="8" s="1"/>
  <c r="L1004" i="8"/>
  <c r="N1004" i="8" s="1"/>
  <c r="L968" i="8"/>
  <c r="L969" i="8"/>
  <c r="N969" i="8" s="1"/>
  <c r="Q969" i="8" s="1"/>
  <c r="L970" i="8"/>
  <c r="N970" i="8" s="1"/>
  <c r="Q970" i="8" s="1"/>
  <c r="L971" i="8"/>
  <c r="N971" i="8" s="1"/>
  <c r="Q971" i="8" s="1"/>
  <c r="L972" i="8"/>
  <c r="N972" i="8" s="1"/>
  <c r="Q972" i="8" s="1"/>
  <c r="L509" i="8"/>
  <c r="N509" i="8" s="1"/>
  <c r="Q509" i="8" s="1"/>
  <c r="L511" i="8"/>
  <c r="N511" i="8" s="1"/>
  <c r="Q511" i="8" s="1"/>
  <c r="L512" i="8"/>
  <c r="N512" i="8" s="1"/>
  <c r="Q512" i="8" s="1"/>
  <c r="L513" i="8"/>
  <c r="N513" i="8" s="1"/>
  <c r="Q513" i="8" s="1"/>
  <c r="L508" i="8"/>
  <c r="N508" i="8" s="1"/>
  <c r="Q508" i="8" s="1"/>
  <c r="K496" i="8"/>
  <c r="K492" i="8" s="1"/>
  <c r="K212" i="8"/>
  <c r="K135" i="8"/>
  <c r="L1752" i="8"/>
  <c r="Q1410" i="8" l="1"/>
  <c r="Q1423" i="8"/>
  <c r="P1004" i="8"/>
  <c r="Q1004" i="8" s="1"/>
  <c r="N999" i="8"/>
  <c r="Q999" i="8" s="1"/>
  <c r="P1002" i="8"/>
  <c r="Q686" i="8"/>
  <c r="N1363" i="8"/>
  <c r="Q1363" i="8" s="1"/>
  <c r="Q1366" i="8"/>
  <c r="N1302" i="8"/>
  <c r="Q1302" i="8" s="1"/>
  <c r="N1352" i="8"/>
  <c r="Q1352" i="8" s="1"/>
  <c r="N229" i="8"/>
  <c r="Q229" i="8" s="1"/>
  <c r="N1752" i="8"/>
  <c r="L994" i="8"/>
  <c r="N995" i="8"/>
  <c r="Q995" i="8" s="1"/>
  <c r="N968" i="8"/>
  <c r="Q968" i="8" s="1"/>
  <c r="L967" i="8"/>
  <c r="K133" i="8"/>
  <c r="L77" i="8"/>
  <c r="N77" i="8" s="1"/>
  <c r="L78" i="8"/>
  <c r="N78" i="8" s="1"/>
  <c r="Q78" i="8" s="1"/>
  <c r="L79" i="8"/>
  <c r="N79" i="8" s="1"/>
  <c r="Q79" i="8" s="1"/>
  <c r="L80" i="8"/>
  <c r="N80" i="8" s="1"/>
  <c r="Q80" i="8" s="1"/>
  <c r="L82" i="8"/>
  <c r="N82" i="8" s="1"/>
  <c r="Q82" i="8" s="1"/>
  <c r="L83" i="8"/>
  <c r="N83" i="8" s="1"/>
  <c r="Q83" i="8" s="1"/>
  <c r="L84" i="8"/>
  <c r="N84" i="8" s="1"/>
  <c r="Q84" i="8" s="1"/>
  <c r="L85" i="8"/>
  <c r="N85" i="8" s="1"/>
  <c r="Q85" i="8" s="1"/>
  <c r="L86" i="8"/>
  <c r="N86" i="8" s="1"/>
  <c r="Q86" i="8" s="1"/>
  <c r="L87" i="8"/>
  <c r="N87" i="8" s="1"/>
  <c r="Q87" i="8" s="1"/>
  <c r="L88" i="8"/>
  <c r="N88" i="8" s="1"/>
  <c r="Q88" i="8" s="1"/>
  <c r="L89" i="8"/>
  <c r="N89" i="8" s="1"/>
  <c r="Q89" i="8" s="1"/>
  <c r="L90" i="8"/>
  <c r="N90" i="8" s="1"/>
  <c r="Q90" i="8" s="1"/>
  <c r="L91" i="8"/>
  <c r="N91" i="8" s="1"/>
  <c r="Q91" i="8" s="1"/>
  <c r="K1376" i="8"/>
  <c r="L1371" i="8"/>
  <c r="N1371" i="8" s="1"/>
  <c r="Q77" i="8" l="1"/>
  <c r="N76" i="8"/>
  <c r="Q1752" i="8"/>
  <c r="P994" i="8"/>
  <c r="P991" i="8" s="1"/>
  <c r="P988" i="8" s="1"/>
  <c r="Q1002" i="8"/>
  <c r="Q76" i="8"/>
  <c r="N994" i="8"/>
  <c r="N967" i="8"/>
  <c r="Q967" i="8" s="1"/>
  <c r="N1362" i="8"/>
  <c r="L1362" i="8"/>
  <c r="N1388" i="8"/>
  <c r="Q1388" i="8" s="1"/>
  <c r="L1376" i="8"/>
  <c r="L1318" i="8"/>
  <c r="N1320" i="8"/>
  <c r="L76" i="8"/>
  <c r="K8" i="8"/>
  <c r="Q1362" i="8" l="1"/>
  <c r="Q1371" i="8"/>
  <c r="Q994" i="8"/>
  <c r="N991" i="8"/>
  <c r="Q991" i="8" s="1"/>
  <c r="N1376" i="8"/>
  <c r="Q1376" i="8" s="1"/>
  <c r="N1318" i="8"/>
  <c r="Q1318" i="8" s="1"/>
  <c r="N521" i="8"/>
  <c r="L1516" i="8"/>
  <c r="L1518" i="8"/>
  <c r="N1518" i="8" s="1"/>
  <c r="L1520" i="8"/>
  <c r="N1520" i="8" s="1"/>
  <c r="L1521" i="8"/>
  <c r="N1521" i="8" s="1"/>
  <c r="L1523" i="8"/>
  <c r="N1523" i="8" s="1"/>
  <c r="L1524" i="8"/>
  <c r="N1524" i="8" s="1"/>
  <c r="L1525" i="8"/>
  <c r="N1525" i="8" s="1"/>
  <c r="L1526" i="8"/>
  <c r="N1526" i="8" s="1"/>
  <c r="L1527" i="8"/>
  <c r="N1527" i="8" s="1"/>
  <c r="L1528" i="8"/>
  <c r="N1528" i="8" s="1"/>
  <c r="L1529" i="8"/>
  <c r="N1529" i="8" s="1"/>
  <c r="L1530" i="8"/>
  <c r="N1530" i="8" s="1"/>
  <c r="L1531" i="8"/>
  <c r="N1531" i="8" s="1"/>
  <c r="L1532" i="8"/>
  <c r="N1532" i="8" s="1"/>
  <c r="K1514" i="8"/>
  <c r="K1511" i="8" s="1"/>
  <c r="K1596" i="8"/>
  <c r="K1594" i="8" s="1"/>
  <c r="K520" i="8"/>
  <c r="K1403" i="8"/>
  <c r="L1398" i="8"/>
  <c r="K1394" i="8"/>
  <c r="K1392" i="8" s="1"/>
  <c r="K1362" i="8"/>
  <c r="K1302" i="8"/>
  <c r="K1299" i="8" s="1"/>
  <c r="L1293" i="8"/>
  <c r="N1293" i="8" s="1"/>
  <c r="Q1293" i="8" s="1"/>
  <c r="L1292" i="8"/>
  <c r="N1292" i="8" s="1"/>
  <c r="Q1292" i="8" s="1"/>
  <c r="L1284" i="8"/>
  <c r="N1284" i="8" s="1"/>
  <c r="Q1284" i="8" s="1"/>
  <c r="L1273" i="8"/>
  <c r="K1273" i="8"/>
  <c r="K1197" i="8"/>
  <c r="L1146" i="8"/>
  <c r="N1146" i="8" s="1"/>
  <c r="Q1089" i="8"/>
  <c r="L1077" i="8"/>
  <c r="N1077" i="8" s="1"/>
  <c r="Q1077" i="8" s="1"/>
  <c r="L1078" i="8"/>
  <c r="N1078" i="8" s="1"/>
  <c r="Q1078" i="8" s="1"/>
  <c r="L1079" i="8"/>
  <c r="N1079" i="8" s="1"/>
  <c r="Q1079" i="8" s="1"/>
  <c r="L1080" i="8"/>
  <c r="N1080" i="8" s="1"/>
  <c r="Q1080" i="8" s="1"/>
  <c r="L1081" i="8"/>
  <c r="N1081" i="8" s="1"/>
  <c r="Q1081" i="8" s="1"/>
  <c r="L1082" i="8"/>
  <c r="Q1082" i="8" s="1"/>
  <c r="L1083" i="8"/>
  <c r="N1083" i="8" s="1"/>
  <c r="Q1083" i="8" s="1"/>
  <c r="L1084" i="8"/>
  <c r="N1084" i="8" s="1"/>
  <c r="Q1084" i="8" s="1"/>
  <c r="L1085" i="8"/>
  <c r="N1085" i="8" s="1"/>
  <c r="Q1085" i="8" s="1"/>
  <c r="L1086" i="8"/>
  <c r="N1086" i="8" s="1"/>
  <c r="Q1086" i="8" s="1"/>
  <c r="K994" i="8"/>
  <c r="K991" i="8" s="1"/>
  <c r="K967" i="8"/>
  <c r="K964" i="8" s="1"/>
  <c r="L625" i="8"/>
  <c r="K616" i="8"/>
  <c r="L612" i="8"/>
  <c r="N612" i="8" s="1"/>
  <c r="K595" i="8"/>
  <c r="K556" i="8"/>
  <c r="L557" i="8"/>
  <c r="L558" i="8"/>
  <c r="N558" i="8" s="1"/>
  <c r="L560" i="8"/>
  <c r="L561" i="8"/>
  <c r="N561" i="8" s="1"/>
  <c r="Q561" i="8" s="1"/>
  <c r="L563" i="8"/>
  <c r="N563" i="8" s="1"/>
  <c r="L564" i="8"/>
  <c r="N564" i="8" s="1"/>
  <c r="L565" i="8"/>
  <c r="N565" i="8" s="1"/>
  <c r="L566" i="8"/>
  <c r="N566" i="8" s="1"/>
  <c r="L567" i="8"/>
  <c r="N567" i="8" s="1"/>
  <c r="L568" i="8"/>
  <c r="N568" i="8" s="1"/>
  <c r="L569" i="8"/>
  <c r="N569" i="8" s="1"/>
  <c r="L529" i="8"/>
  <c r="L505" i="8"/>
  <c r="N505" i="8" s="1"/>
  <c r="K480" i="8"/>
  <c r="L486" i="8"/>
  <c r="L309" i="8"/>
  <c r="L310" i="8"/>
  <c r="N310" i="8" s="1"/>
  <c r="Q310" i="8" s="1"/>
  <c r="K165" i="8"/>
  <c r="K117" i="8" s="1"/>
  <c r="K202" i="8"/>
  <c r="K201" i="8" s="1"/>
  <c r="L1510" i="8"/>
  <c r="N1510" i="8" s="1"/>
  <c r="L1597" i="8"/>
  <c r="L1599" i="8"/>
  <c r="N1599" i="8" s="1"/>
  <c r="Q1599" i="8" s="1"/>
  <c r="L1600" i="8"/>
  <c r="N1600" i="8" s="1"/>
  <c r="Q1600" i="8" s="1"/>
  <c r="L1601" i="8"/>
  <c r="N1601" i="8" s="1"/>
  <c r="Q1601" i="8" s="1"/>
  <c r="L1602" i="8"/>
  <c r="N1602" i="8" s="1"/>
  <c r="Q1602" i="8" s="1"/>
  <c r="L1603" i="8"/>
  <c r="N1603" i="8" s="1"/>
  <c r="Q1603" i="8" s="1"/>
  <c r="L1604" i="8"/>
  <c r="N1604" i="8" s="1"/>
  <c r="Q1604" i="8" s="1"/>
  <c r="L1605" i="8"/>
  <c r="N1605" i="8" s="1"/>
  <c r="L1606" i="8"/>
  <c r="N1606" i="8" s="1"/>
  <c r="L1607" i="8"/>
  <c r="N1607" i="8" s="1"/>
  <c r="Q1607" i="8" s="1"/>
  <c r="L1608" i="8"/>
  <c r="N1608" i="8" s="1"/>
  <c r="L1555" i="8"/>
  <c r="K1588" i="8"/>
  <c r="L1589" i="8"/>
  <c r="N1589" i="8" s="1"/>
  <c r="Q1589" i="8" s="1"/>
  <c r="L1409" i="8"/>
  <c r="N1409" i="8" s="1"/>
  <c r="L1393" i="8"/>
  <c r="N1393" i="8" s="1"/>
  <c r="Q1393" i="8" s="1"/>
  <c r="L1375" i="8"/>
  <c r="N1375" i="8" s="1"/>
  <c r="Q1375" i="8" s="1"/>
  <c r="L1361" i="8"/>
  <c r="N1361" i="8" s="1"/>
  <c r="Q1361" i="8" s="1"/>
  <c r="L1351" i="8"/>
  <c r="N1351" i="8" s="1"/>
  <c r="Q1351" i="8" s="1"/>
  <c r="K1324" i="8"/>
  <c r="L1301" i="8"/>
  <c r="N1301" i="8" s="1"/>
  <c r="L1296" i="8"/>
  <c r="N1296" i="8" s="1"/>
  <c r="K1295" i="8"/>
  <c r="K1257" i="8"/>
  <c r="L1258" i="8"/>
  <c r="N1258" i="8" s="1"/>
  <c r="Q1258" i="8" s="1"/>
  <c r="L1224" i="8"/>
  <c r="N1224" i="8" s="1"/>
  <c r="K1223" i="8"/>
  <c r="L1188" i="8"/>
  <c r="N1188" i="8" s="1"/>
  <c r="Q1188" i="8" s="1"/>
  <c r="L1154" i="8"/>
  <c r="N1154" i="8" s="1"/>
  <c r="Q1154" i="8" s="1"/>
  <c r="L945" i="8"/>
  <c r="N945" i="8" s="1"/>
  <c r="Q945" i="8" s="1"/>
  <c r="K905" i="8"/>
  <c r="K902" i="8" s="1"/>
  <c r="N772" i="8"/>
  <c r="Q772" i="8" s="1"/>
  <c r="L751" i="8"/>
  <c r="N751" i="8" s="1"/>
  <c r="L747" i="8"/>
  <c r="N747" i="8" s="1"/>
  <c r="Q747" i="8" s="1"/>
  <c r="L731" i="8"/>
  <c r="L730" i="8" s="1"/>
  <c r="L708" i="8"/>
  <c r="N708" i="8" s="1"/>
  <c r="Q708" i="8" s="1"/>
  <c r="L685" i="8"/>
  <c r="N685" i="8" s="1"/>
  <c r="Q685" i="8" s="1"/>
  <c r="L667" i="8"/>
  <c r="N667" i="8" s="1"/>
  <c r="L650" i="8"/>
  <c r="N650" i="8" s="1"/>
  <c r="L594" i="8"/>
  <c r="N594" i="8" s="1"/>
  <c r="Q594" i="8" s="1"/>
  <c r="L574" i="8"/>
  <c r="N574" i="8" s="1"/>
  <c r="P574" i="8" s="1"/>
  <c r="L575" i="8"/>
  <c r="N575" i="8" s="1"/>
  <c r="L578" i="8"/>
  <c r="L579" i="8"/>
  <c r="N579" i="8" s="1"/>
  <c r="Q579" i="8" s="1"/>
  <c r="L580" i="8"/>
  <c r="N580" i="8" s="1"/>
  <c r="Q580" i="8" s="1"/>
  <c r="L581" i="8"/>
  <c r="N581" i="8" s="1"/>
  <c r="Q581" i="8" s="1"/>
  <c r="L585" i="8"/>
  <c r="N585" i="8" s="1"/>
  <c r="Q585" i="8" s="1"/>
  <c r="L586" i="8"/>
  <c r="N586" i="8" s="1"/>
  <c r="Q586" i="8" s="1"/>
  <c r="L587" i="8"/>
  <c r="N587" i="8" s="1"/>
  <c r="L588" i="8"/>
  <c r="N588" i="8" s="1"/>
  <c r="Q588" i="8" s="1"/>
  <c r="L589" i="8"/>
  <c r="N589" i="8" s="1"/>
  <c r="Q589" i="8" s="1"/>
  <c r="L591" i="8"/>
  <c r="N591" i="8" s="1"/>
  <c r="Q591" i="8" s="1"/>
  <c r="L592" i="8"/>
  <c r="N592" i="8" s="1"/>
  <c r="L573" i="8"/>
  <c r="K576" i="8"/>
  <c r="K572" i="8" s="1"/>
  <c r="L571" i="8"/>
  <c r="N571" i="8" s="1"/>
  <c r="Q571" i="8" s="1"/>
  <c r="L555" i="8"/>
  <c r="L542" i="8"/>
  <c r="L543" i="8"/>
  <c r="N543" i="8" s="1"/>
  <c r="L544" i="8"/>
  <c r="N544" i="8" s="1"/>
  <c r="Q544" i="8" s="1"/>
  <c r="L548" i="8"/>
  <c r="N548" i="8" s="1"/>
  <c r="Q548" i="8" s="1"/>
  <c r="L549" i="8"/>
  <c r="N549" i="8" s="1"/>
  <c r="Q549" i="8" s="1"/>
  <c r="L550" i="8"/>
  <c r="N550" i="8" s="1"/>
  <c r="Q550" i="8" s="1"/>
  <c r="L551" i="8"/>
  <c r="N551" i="8" s="1"/>
  <c r="L552" i="8"/>
  <c r="N552" i="8" s="1"/>
  <c r="Q552" i="8" s="1"/>
  <c r="L553" i="8"/>
  <c r="N553" i="8" s="1"/>
  <c r="Q553" i="8" s="1"/>
  <c r="K541" i="8"/>
  <c r="L540" i="8"/>
  <c r="N540" i="8" s="1"/>
  <c r="Q540" i="8" s="1"/>
  <c r="L515" i="8"/>
  <c r="L479" i="8"/>
  <c r="L398" i="8"/>
  <c r="N398" i="8" s="1"/>
  <c r="Q398" i="8" s="1"/>
  <c r="L366" i="8"/>
  <c r="N366" i="8" s="1"/>
  <c r="N1453" i="8" l="1"/>
  <c r="Q1520" i="8"/>
  <c r="Q1532" i="8"/>
  <c r="Q1531" i="8"/>
  <c r="P1530" i="8"/>
  <c r="Q1530" i="8" s="1"/>
  <c r="Q1521" i="8"/>
  <c r="P1529" i="8"/>
  <c r="Q1529" i="8" s="1"/>
  <c r="Q1523" i="8"/>
  <c r="Q1528" i="8"/>
  <c r="Q1527" i="8"/>
  <c r="Q1526" i="8"/>
  <c r="Q1453" i="8"/>
  <c r="Q1525" i="8"/>
  <c r="P1524" i="8"/>
  <c r="P1605" i="8"/>
  <c r="P1606" i="8"/>
  <c r="Q1606" i="8" s="1"/>
  <c r="P1608" i="8"/>
  <c r="Q1608" i="8" s="1"/>
  <c r="Q1301" i="8"/>
  <c r="Q366" i="8"/>
  <c r="Q1146" i="8"/>
  <c r="Q587" i="8"/>
  <c r="P575" i="8"/>
  <c r="Q575" i="8" s="1"/>
  <c r="P592" i="8"/>
  <c r="Q592" i="8" s="1"/>
  <c r="Q567" i="8"/>
  <c r="Q566" i="8"/>
  <c r="Q565" i="8"/>
  <c r="Q564" i="8"/>
  <c r="P551" i="8"/>
  <c r="P541" i="8" s="1"/>
  <c r="P539" i="8" s="1"/>
  <c r="Q563" i="8"/>
  <c r="P558" i="8"/>
  <c r="P569" i="8"/>
  <c r="Q569" i="8" s="1"/>
  <c r="Q568" i="8"/>
  <c r="N595" i="8"/>
  <c r="Q595" i="8" s="1"/>
  <c r="Q612" i="8"/>
  <c r="N1555" i="8"/>
  <c r="L1553" i="8"/>
  <c r="N1588" i="8"/>
  <c r="Q1588" i="8" s="1"/>
  <c r="N1360" i="8"/>
  <c r="Q1360" i="8" s="1"/>
  <c r="N1153" i="8"/>
  <c r="Q1153" i="8" s="1"/>
  <c r="N1374" i="8"/>
  <c r="Q1374" i="8" s="1"/>
  <c r="N1187" i="8"/>
  <c r="Q1187" i="8" s="1"/>
  <c r="L576" i="8"/>
  <c r="L572" i="8" s="1"/>
  <c r="N648" i="8"/>
  <c r="N1408" i="8"/>
  <c r="N771" i="8"/>
  <c r="Q771" i="8" s="1"/>
  <c r="N666" i="8"/>
  <c r="N1223" i="8"/>
  <c r="N750" i="8"/>
  <c r="N684" i="8"/>
  <c r="Q684" i="8" s="1"/>
  <c r="N1257" i="8"/>
  <c r="Q1257" i="8" s="1"/>
  <c r="N707" i="8"/>
  <c r="Q707" i="8" s="1"/>
  <c r="N1295" i="8"/>
  <c r="N1350" i="8"/>
  <c r="Q1350" i="8" s="1"/>
  <c r="N944" i="8"/>
  <c r="Q944" i="8" s="1"/>
  <c r="N988" i="8"/>
  <c r="Q988" i="8" s="1"/>
  <c r="N365" i="8"/>
  <c r="N397" i="8"/>
  <c r="Q397" i="8" s="1"/>
  <c r="N529" i="8"/>
  <c r="L520" i="8"/>
  <c r="N1597" i="8"/>
  <c r="Q1597" i="8" s="1"/>
  <c r="L1596" i="8"/>
  <c r="L1594" i="8" s="1"/>
  <c r="L1593" i="8" s="1"/>
  <c r="K1593" i="8"/>
  <c r="L1269" i="8"/>
  <c r="N1269" i="8"/>
  <c r="Q1269" i="8" s="1"/>
  <c r="L1514" i="8"/>
  <c r="N1516" i="8"/>
  <c r="N1514" i="8" s="1"/>
  <c r="L1394" i="8"/>
  <c r="L1392" i="8" s="1"/>
  <c r="N1398" i="8"/>
  <c r="Q1398" i="8" s="1"/>
  <c r="M1508" i="8"/>
  <c r="M1450" i="8" s="1"/>
  <c r="M1442" i="8" s="1"/>
  <c r="N1076" i="8"/>
  <c r="Q1076" i="8" s="1"/>
  <c r="M746" i="8"/>
  <c r="N746" i="8"/>
  <c r="Q746" i="8" s="1"/>
  <c r="N731" i="8"/>
  <c r="Q731" i="8" s="1"/>
  <c r="M730" i="8"/>
  <c r="L616" i="8"/>
  <c r="N625" i="8"/>
  <c r="N573" i="8"/>
  <c r="N557" i="8"/>
  <c r="Q557" i="8" s="1"/>
  <c r="N560" i="8"/>
  <c r="L559" i="8"/>
  <c r="L556" i="8" s="1"/>
  <c r="N578" i="8"/>
  <c r="N486" i="8"/>
  <c r="L480" i="8"/>
  <c r="L478" i="8" s="1"/>
  <c r="N555" i="8"/>
  <c r="Q555" i="8" s="1"/>
  <c r="N479" i="8"/>
  <c r="N515" i="8"/>
  <c r="N542" i="8"/>
  <c r="L541" i="8"/>
  <c r="N309" i="8"/>
  <c r="P309" i="8" s="1"/>
  <c r="P307" i="8" s="1"/>
  <c r="P306" i="8" s="1"/>
  <c r="P305" i="8" s="1"/>
  <c r="L307" i="8"/>
  <c r="K192" i="8"/>
  <c r="L1076" i="8"/>
  <c r="O1508" i="8" l="1"/>
  <c r="O1450" i="8" s="1"/>
  <c r="P572" i="8"/>
  <c r="P570" i="8" s="1"/>
  <c r="N1553" i="8"/>
  <c r="N1452" i="8"/>
  <c r="P1596" i="8"/>
  <c r="P1594" i="8" s="1"/>
  <c r="Q1524" i="8"/>
  <c r="P1514" i="8"/>
  <c r="P1511" i="8" s="1"/>
  <c r="Q1518" i="8"/>
  <c r="Q1510" i="8"/>
  <c r="Q1605" i="8"/>
  <c r="P288" i="8"/>
  <c r="P292" i="8"/>
  <c r="P289" i="8" s="1"/>
  <c r="Q1295" i="8"/>
  <c r="Q1408" i="8"/>
  <c r="Q1409" i="8"/>
  <c r="Q1296" i="8"/>
  <c r="Q1223" i="8"/>
  <c r="Q365" i="8"/>
  <c r="Q1224" i="8"/>
  <c r="Q750" i="8"/>
  <c r="Q751" i="8"/>
  <c r="Q666" i="8"/>
  <c r="Q667" i="8"/>
  <c r="Q648" i="8"/>
  <c r="Q650" i="8"/>
  <c r="P556" i="8"/>
  <c r="P554" i="8" s="1"/>
  <c r="Q551" i="8"/>
  <c r="Q558" i="8"/>
  <c r="Q515" i="8"/>
  <c r="P529" i="8"/>
  <c r="P520" i="8" s="1"/>
  <c r="P516" i="8" s="1"/>
  <c r="P514" i="8" s="1"/>
  <c r="Q521" i="8"/>
  <c r="Q505" i="8"/>
  <c r="Q479" i="8"/>
  <c r="N593" i="8"/>
  <c r="Q593" i="8" s="1"/>
  <c r="N616" i="8"/>
  <c r="Q616" i="8" s="1"/>
  <c r="Q625" i="8"/>
  <c r="N576" i="8"/>
  <c r="Q576" i="8" s="1"/>
  <c r="Q578" i="8"/>
  <c r="N541" i="8"/>
  <c r="Q541" i="8" s="1"/>
  <c r="Q542" i="8"/>
  <c r="N559" i="8"/>
  <c r="Q559" i="8" s="1"/>
  <c r="Q560" i="8"/>
  <c r="N480" i="8"/>
  <c r="N307" i="8"/>
  <c r="N306" i="8" s="1"/>
  <c r="N1596" i="8"/>
  <c r="N1394" i="8"/>
  <c r="Q1394" i="8" s="1"/>
  <c r="N730" i="8"/>
  <c r="Q730" i="8" s="1"/>
  <c r="N1073" i="8"/>
  <c r="Q1073" i="8" s="1"/>
  <c r="N520" i="8"/>
  <c r="N1299" i="8"/>
  <c r="Q1299" i="8" s="1"/>
  <c r="M1299" i="8"/>
  <c r="L1073" i="8"/>
  <c r="L1071" i="8" s="1"/>
  <c r="L223" i="8"/>
  <c r="L222" i="8"/>
  <c r="N222" i="8" s="1"/>
  <c r="K221" i="8"/>
  <c r="L980" i="8"/>
  <c r="N980" i="8" s="1"/>
  <c r="L981" i="8"/>
  <c r="N981" i="8" s="1"/>
  <c r="L982" i="8"/>
  <c r="N982" i="8" s="1"/>
  <c r="L983" i="8"/>
  <c r="N983" i="8" s="1"/>
  <c r="L984" i="8"/>
  <c r="N984" i="8" s="1"/>
  <c r="L985" i="8"/>
  <c r="N985" i="8" s="1"/>
  <c r="L987" i="8"/>
  <c r="N987" i="8" s="1"/>
  <c r="L979" i="8"/>
  <c r="L1268" i="8"/>
  <c r="N1268" i="8" s="1"/>
  <c r="Q1268" i="8" s="1"/>
  <c r="K1269" i="8"/>
  <c r="K1231" i="8"/>
  <c r="K1227" i="8" s="1"/>
  <c r="L1229" i="8"/>
  <c r="N1229" i="8" s="1"/>
  <c r="L1230" i="8"/>
  <c r="N1230" i="8" s="1"/>
  <c r="Q1230" i="8" s="1"/>
  <c r="L1232" i="8"/>
  <c r="L1233" i="8"/>
  <c r="N1233" i="8" s="1"/>
  <c r="Q1233" i="8" s="1"/>
  <c r="L1234" i="8"/>
  <c r="N1234" i="8" s="1"/>
  <c r="Q1234" i="8" s="1"/>
  <c r="L1235" i="8"/>
  <c r="N1235" i="8" s="1"/>
  <c r="Q1235" i="8" s="1"/>
  <c r="L1236" i="8"/>
  <c r="N1236" i="8" s="1"/>
  <c r="Q1236" i="8" s="1"/>
  <c r="L1237" i="8"/>
  <c r="N1237" i="8" s="1"/>
  <c r="Q1237" i="8" s="1"/>
  <c r="L1238" i="8"/>
  <c r="N1238" i="8" s="1"/>
  <c r="Q1238" i="8" s="1"/>
  <c r="L1239" i="8"/>
  <c r="N1239" i="8" s="1"/>
  <c r="L1240" i="8"/>
  <c r="N1240" i="8" s="1"/>
  <c r="Q1240" i="8" s="1"/>
  <c r="L1241" i="8"/>
  <c r="N1241" i="8" s="1"/>
  <c r="Q1241" i="8" s="1"/>
  <c r="L1242" i="8"/>
  <c r="N1242" i="8" s="1"/>
  <c r="Q1242" i="8" s="1"/>
  <c r="L1243" i="8"/>
  <c r="N1243" i="8" s="1"/>
  <c r="Q1243" i="8" s="1"/>
  <c r="L1244" i="8"/>
  <c r="N1244" i="8" s="1"/>
  <c r="Q1244" i="8" s="1"/>
  <c r="L1245" i="8"/>
  <c r="N1245" i="8" s="1"/>
  <c r="L1246" i="8"/>
  <c r="N1246" i="8" s="1"/>
  <c r="Q1246" i="8" s="1"/>
  <c r="L1247" i="8"/>
  <c r="N1247" i="8" s="1"/>
  <c r="L1248" i="8"/>
  <c r="N1248" i="8" s="1"/>
  <c r="Q1248" i="8" s="1"/>
  <c r="L1249" i="8"/>
  <c r="N1249" i="8" s="1"/>
  <c r="Q1249" i="8" s="1"/>
  <c r="L1250" i="8"/>
  <c r="N1250" i="8" s="1"/>
  <c r="Q1250" i="8" s="1"/>
  <c r="L1228" i="8"/>
  <c r="L1226" i="8"/>
  <c r="N1226" i="8" s="1"/>
  <c r="Q1226" i="8" s="1"/>
  <c r="L1194" i="8"/>
  <c r="L1195" i="8"/>
  <c r="N1195" i="8" s="1"/>
  <c r="Q1195" i="8" s="1"/>
  <c r="L1196" i="8"/>
  <c r="N1196" i="8" s="1"/>
  <c r="Q1196" i="8" s="1"/>
  <c r="L1198" i="8"/>
  <c r="L1199" i="8"/>
  <c r="N1199" i="8" s="1"/>
  <c r="Q1199" i="8" s="1"/>
  <c r="L1200" i="8"/>
  <c r="N1200" i="8" s="1"/>
  <c r="Q1200" i="8" s="1"/>
  <c r="L1201" i="8"/>
  <c r="N1201" i="8" s="1"/>
  <c r="Q1201" i="8" s="1"/>
  <c r="L1202" i="8"/>
  <c r="N1202" i="8" s="1"/>
  <c r="Q1202" i="8" s="1"/>
  <c r="L1203" i="8"/>
  <c r="N1203" i="8" s="1"/>
  <c r="Q1203" i="8" s="1"/>
  <c r="L1204" i="8"/>
  <c r="N1204" i="8" s="1"/>
  <c r="Q1204" i="8" s="1"/>
  <c r="L1205" i="8"/>
  <c r="N1205" i="8" s="1"/>
  <c r="Q1205" i="8" s="1"/>
  <c r="L1206" i="8"/>
  <c r="N1206" i="8" s="1"/>
  <c r="Q1206" i="8" s="1"/>
  <c r="L1207" i="8"/>
  <c r="N1207" i="8" s="1"/>
  <c r="Q1207" i="8" s="1"/>
  <c r="L1208" i="8"/>
  <c r="N1208" i="8" s="1"/>
  <c r="Q1208" i="8" s="1"/>
  <c r="L1209" i="8"/>
  <c r="N1209" i="8" s="1"/>
  <c r="Q1209" i="8" s="1"/>
  <c r="L1210" i="8"/>
  <c r="N1210" i="8" s="1"/>
  <c r="Q1210" i="8" s="1"/>
  <c r="L1212" i="8"/>
  <c r="N1212" i="8" s="1"/>
  <c r="Q1212" i="8" s="1"/>
  <c r="L1213" i="8"/>
  <c r="N1213" i="8" s="1"/>
  <c r="Q1213" i="8" s="1"/>
  <c r="L1214" i="8"/>
  <c r="N1214" i="8" s="1"/>
  <c r="Q1214" i="8" s="1"/>
  <c r="L1215" i="8"/>
  <c r="N1215" i="8" s="1"/>
  <c r="L1216" i="8"/>
  <c r="N1216" i="8" s="1"/>
  <c r="Q1216" i="8" s="1"/>
  <c r="L1192" i="8"/>
  <c r="N1192" i="8" s="1"/>
  <c r="Q1192" i="8" s="1"/>
  <c r="K1019" i="8"/>
  <c r="K1016" i="8" s="1"/>
  <c r="L1017" i="8"/>
  <c r="L1018" i="8"/>
  <c r="N1018" i="8" s="1"/>
  <c r="L1020" i="8"/>
  <c r="L1021" i="8"/>
  <c r="N1021" i="8" s="1"/>
  <c r="Q1021" i="8" s="1"/>
  <c r="L1022" i="8"/>
  <c r="N1022" i="8" s="1"/>
  <c r="Q1022" i="8" s="1"/>
  <c r="L1023" i="8"/>
  <c r="N1023" i="8" s="1"/>
  <c r="Q1023" i="8" s="1"/>
  <c r="L1024" i="8"/>
  <c r="N1024" i="8" s="1"/>
  <c r="Q1024" i="8" s="1"/>
  <c r="L1025" i="8"/>
  <c r="N1025" i="8" s="1"/>
  <c r="Q1025" i="8" s="1"/>
  <c r="L1026" i="8"/>
  <c r="N1026" i="8" s="1"/>
  <c r="Q1026" i="8" s="1"/>
  <c r="L1027" i="8"/>
  <c r="N1027" i="8" s="1"/>
  <c r="Q1027" i="8" s="1"/>
  <c r="L1028" i="8"/>
  <c r="N1028" i="8" s="1"/>
  <c r="Q1028" i="8" s="1"/>
  <c r="L1029" i="8"/>
  <c r="N1029" i="8" s="1"/>
  <c r="Q1029" i="8" s="1"/>
  <c r="L1031" i="8"/>
  <c r="N1031" i="8" s="1"/>
  <c r="Q1031" i="8" s="1"/>
  <c r="L1032" i="8"/>
  <c r="N1032" i="8" s="1"/>
  <c r="Q1032" i="8" s="1"/>
  <c r="L1033" i="8"/>
  <c r="N1033" i="8" s="1"/>
  <c r="Q1033" i="8" s="1"/>
  <c r="L1034" i="8"/>
  <c r="N1034" i="8" s="1"/>
  <c r="Q1034" i="8" s="1"/>
  <c r="L1035" i="8"/>
  <c r="N1035" i="8" s="1"/>
  <c r="Q1035" i="8" s="1"/>
  <c r="L1036" i="8"/>
  <c r="N1036" i="8" s="1"/>
  <c r="Q1036" i="8" s="1"/>
  <c r="L1037" i="8"/>
  <c r="N1037" i="8" s="1"/>
  <c r="Q1037" i="8" s="1"/>
  <c r="L1038" i="8"/>
  <c r="N1038" i="8" s="1"/>
  <c r="Q1038" i="8" s="1"/>
  <c r="L1039" i="8"/>
  <c r="N1039" i="8" s="1"/>
  <c r="Q1039" i="8" s="1"/>
  <c r="L1015" i="8"/>
  <c r="N1015" i="8" s="1"/>
  <c r="L903" i="8"/>
  <c r="L904" i="8"/>
  <c r="N904" i="8" s="1"/>
  <c r="Q904" i="8" s="1"/>
  <c r="L906" i="8"/>
  <c r="L907" i="8"/>
  <c r="N907" i="8" s="1"/>
  <c r="Q907" i="8" s="1"/>
  <c r="L908" i="8"/>
  <c r="N908" i="8" s="1"/>
  <c r="Q908" i="8" s="1"/>
  <c r="L909" i="8"/>
  <c r="N909" i="8" s="1"/>
  <c r="Q909" i="8" s="1"/>
  <c r="L910" i="8"/>
  <c r="N910" i="8" s="1"/>
  <c r="Q910" i="8" s="1"/>
  <c r="L911" i="8"/>
  <c r="N911" i="8" s="1"/>
  <c r="Q911" i="8" s="1"/>
  <c r="L912" i="8"/>
  <c r="N912" i="8" s="1"/>
  <c r="Q912" i="8" s="1"/>
  <c r="L913" i="8"/>
  <c r="N913" i="8" s="1"/>
  <c r="L914" i="8"/>
  <c r="N914" i="8" s="1"/>
  <c r="P914" i="8" s="1"/>
  <c r="L916" i="8"/>
  <c r="N916" i="8" s="1"/>
  <c r="L917" i="8"/>
  <c r="N917" i="8" s="1"/>
  <c r="L918" i="8"/>
  <c r="N918" i="8" s="1"/>
  <c r="L920" i="8"/>
  <c r="N920" i="8" s="1"/>
  <c r="L922" i="8"/>
  <c r="N922" i="8" s="1"/>
  <c r="L923" i="8"/>
  <c r="N923" i="8" s="1"/>
  <c r="L901" i="8"/>
  <c r="N901" i="8" s="1"/>
  <c r="Q901" i="8" s="1"/>
  <c r="L870" i="8"/>
  <c r="N870" i="8" s="1"/>
  <c r="L871" i="8"/>
  <c r="N871" i="8" s="1"/>
  <c r="L872" i="8"/>
  <c r="N872" i="8" s="1"/>
  <c r="L873" i="8"/>
  <c r="N873" i="8" s="1"/>
  <c r="L874" i="8"/>
  <c r="N874" i="8" s="1"/>
  <c r="L869" i="8"/>
  <c r="K855" i="8"/>
  <c r="K452" i="8"/>
  <c r="K448" i="8" s="1"/>
  <c r="L452" i="8"/>
  <c r="L448" i="8" s="1"/>
  <c r="L446" i="8" s="1"/>
  <c r="N446" i="8" s="1"/>
  <c r="Q446" i="8" s="1"/>
  <c r="K430" i="8"/>
  <c r="L431" i="8"/>
  <c r="N431" i="8" s="1"/>
  <c r="Q431" i="8" s="1"/>
  <c r="L432" i="8"/>
  <c r="N432" i="8" s="1"/>
  <c r="Q432" i="8" s="1"/>
  <c r="L433" i="8"/>
  <c r="N433" i="8" s="1"/>
  <c r="Q433" i="8" s="1"/>
  <c r="L436" i="8"/>
  <c r="N436" i="8" s="1"/>
  <c r="Q436" i="8" s="1"/>
  <c r="L437" i="8"/>
  <c r="N437" i="8" s="1"/>
  <c r="Q437" i="8" s="1"/>
  <c r="L438" i="8"/>
  <c r="N438" i="8" s="1"/>
  <c r="Q438" i="8" s="1"/>
  <c r="L440" i="8"/>
  <c r="L441" i="8"/>
  <c r="N441" i="8" s="1"/>
  <c r="Q441" i="8" s="1"/>
  <c r="L443" i="8"/>
  <c r="N443" i="8" s="1"/>
  <c r="Q443" i="8" s="1"/>
  <c r="L429" i="8"/>
  <c r="N429" i="8" s="1"/>
  <c r="L389" i="8"/>
  <c r="L390" i="8"/>
  <c r="N390" i="8" s="1"/>
  <c r="P390" i="8" s="1"/>
  <c r="L391" i="8"/>
  <c r="N391" i="8" s="1"/>
  <c r="P391" i="8" s="1"/>
  <c r="L392" i="8"/>
  <c r="N392" i="8" s="1"/>
  <c r="P392" i="8" s="1"/>
  <c r="L393" i="8"/>
  <c r="N393" i="8" s="1"/>
  <c r="P393" i="8" s="1"/>
  <c r="L395" i="8"/>
  <c r="N395" i="8" s="1"/>
  <c r="L396" i="8"/>
  <c r="N396" i="8" s="1"/>
  <c r="Q396" i="8" s="1"/>
  <c r="K388" i="8"/>
  <c r="L242" i="8"/>
  <c r="N242" i="8" s="1"/>
  <c r="L243" i="8"/>
  <c r="N243" i="8" s="1"/>
  <c r="L246" i="8"/>
  <c r="L247" i="8"/>
  <c r="N247" i="8" s="1"/>
  <c r="L248" i="8"/>
  <c r="N248" i="8" s="1"/>
  <c r="L249" i="8"/>
  <c r="N249" i="8" s="1"/>
  <c r="L250" i="8"/>
  <c r="N250" i="8" s="1"/>
  <c r="L251" i="8"/>
  <c r="N251" i="8" s="1"/>
  <c r="L253" i="8"/>
  <c r="N253" i="8" s="1"/>
  <c r="L254" i="8"/>
  <c r="N254" i="8" s="1"/>
  <c r="L255" i="8"/>
  <c r="N255" i="8" s="1"/>
  <c r="L256" i="8"/>
  <c r="N256" i="8" s="1"/>
  <c r="L257" i="8"/>
  <c r="N257" i="8" s="1"/>
  <c r="L258" i="8"/>
  <c r="N258" i="8" s="1"/>
  <c r="L260" i="8"/>
  <c r="N260" i="8" s="1"/>
  <c r="L261" i="8"/>
  <c r="N261" i="8" s="1"/>
  <c r="L240" i="8"/>
  <c r="K239" i="8"/>
  <c r="K237" i="8" s="1"/>
  <c r="L238" i="8"/>
  <c r="N238" i="8" s="1"/>
  <c r="Q238" i="8" s="1"/>
  <c r="L141" i="8"/>
  <c r="N141" i="8" s="1"/>
  <c r="L142" i="8"/>
  <c r="N142" i="8" s="1"/>
  <c r="L143" i="8"/>
  <c r="N143" i="8" s="1"/>
  <c r="L144" i="8"/>
  <c r="N144" i="8" s="1"/>
  <c r="L145" i="8"/>
  <c r="N145" i="8" s="1"/>
  <c r="L146" i="8"/>
  <c r="N146" i="8" s="1"/>
  <c r="L147" i="8"/>
  <c r="N147" i="8" s="1"/>
  <c r="L148" i="8"/>
  <c r="N148" i="8" s="1"/>
  <c r="L150" i="8"/>
  <c r="N150" i="8" s="1"/>
  <c r="P150" i="8" s="1"/>
  <c r="P135" i="8" s="1"/>
  <c r="P121" i="8" s="1"/>
  <c r="L151" i="8"/>
  <c r="N151" i="8" s="1"/>
  <c r="Q151" i="8" s="1"/>
  <c r="L152" i="8"/>
  <c r="N152" i="8" s="1"/>
  <c r="Q152" i="8" s="1"/>
  <c r="L153" i="8"/>
  <c r="N153" i="8" s="1"/>
  <c r="Q153" i="8" s="1"/>
  <c r="L154" i="8"/>
  <c r="N154" i="8" s="1"/>
  <c r="Q154" i="8" s="1"/>
  <c r="L156" i="8"/>
  <c r="N156" i="8" s="1"/>
  <c r="Q156" i="8" s="1"/>
  <c r="L157" i="8"/>
  <c r="N157" i="8" s="1"/>
  <c r="L158" i="8"/>
  <c r="N158" i="8" s="1"/>
  <c r="Q158" i="8" s="1"/>
  <c r="L159" i="8"/>
  <c r="N159" i="8" s="1"/>
  <c r="L139" i="8"/>
  <c r="N139" i="8" s="1"/>
  <c r="Q139" i="8" s="1"/>
  <c r="P1508" i="8" l="1"/>
  <c r="P1454" i="8"/>
  <c r="P1451" i="8" s="1"/>
  <c r="O1618" i="8"/>
  <c r="O1619" i="8" s="1"/>
  <c r="O1748" i="8" s="1"/>
  <c r="O1756" i="8" s="1"/>
  <c r="O107" i="8"/>
  <c r="O1451" i="8"/>
  <c r="O114" i="8"/>
  <c r="N440" i="8"/>
  <c r="Q440" i="8" s="1"/>
  <c r="L425" i="8"/>
  <c r="L423" i="8" s="1"/>
  <c r="Q1553" i="8"/>
  <c r="Q1555" i="8"/>
  <c r="P1450" i="8"/>
  <c r="Q1514" i="8"/>
  <c r="Q1516" i="8"/>
  <c r="Q1596" i="8"/>
  <c r="N1594" i="8"/>
  <c r="Q261" i="8"/>
  <c r="P260" i="8"/>
  <c r="Q260" i="8" s="1"/>
  <c r="Q257" i="8"/>
  <c r="Q242" i="8"/>
  <c r="Q256" i="8"/>
  <c r="Q255" i="8"/>
  <c r="Q254" i="8"/>
  <c r="P253" i="8"/>
  <c r="Q253" i="8" s="1"/>
  <c r="P258" i="8"/>
  <c r="Q258" i="8" s="1"/>
  <c r="P250" i="8"/>
  <c r="Q247" i="8"/>
  <c r="Q251" i="8"/>
  <c r="Q249" i="8"/>
  <c r="Q248" i="8"/>
  <c r="Q1015" i="8"/>
  <c r="Q429" i="8"/>
  <c r="Q222" i="8"/>
  <c r="N188" i="8"/>
  <c r="N223" i="8"/>
  <c r="P118" i="8"/>
  <c r="Q159" i="8"/>
  <c r="N122" i="8"/>
  <c r="N112" i="8" s="1"/>
  <c r="P1247" i="8"/>
  <c r="Q1247" i="8" s="1"/>
  <c r="P1245" i="8"/>
  <c r="Q1245" i="8" s="1"/>
  <c r="P1215" i="8"/>
  <c r="P1193" i="8" s="1"/>
  <c r="P1191" i="8" s="1"/>
  <c r="P1229" i="8"/>
  <c r="Q1239" i="8"/>
  <c r="Q1018" i="8"/>
  <c r="Q987" i="8"/>
  <c r="Q984" i="8"/>
  <c r="Q983" i="8"/>
  <c r="Q982" i="8"/>
  <c r="Q985" i="8"/>
  <c r="Q981" i="8"/>
  <c r="Q980" i="8"/>
  <c r="Q922" i="8"/>
  <c r="Q916" i="8"/>
  <c r="Q918" i="8"/>
  <c r="Q920" i="8"/>
  <c r="Q917" i="8"/>
  <c r="Q874" i="8"/>
  <c r="Q872" i="8"/>
  <c r="Q871" i="8"/>
  <c r="Q870" i="8"/>
  <c r="Q873" i="8"/>
  <c r="Q573" i="8"/>
  <c r="Q520" i="8"/>
  <c r="Q480" i="8"/>
  <c r="Q486" i="8"/>
  <c r="N556" i="8"/>
  <c r="Q556" i="8" s="1"/>
  <c r="N614" i="8"/>
  <c r="Q614" i="8" s="1"/>
  <c r="N539" i="8"/>
  <c r="Q539" i="8" s="1"/>
  <c r="N572" i="8"/>
  <c r="Q572" i="8" s="1"/>
  <c r="N478" i="8"/>
  <c r="P133" i="8"/>
  <c r="N1511" i="8"/>
  <c r="N1454" i="8" s="1"/>
  <c r="N1392" i="8"/>
  <c r="Q1392" i="8" s="1"/>
  <c r="N1401" i="8"/>
  <c r="Q1401" i="8" s="1"/>
  <c r="N1071" i="8"/>
  <c r="Q1071" i="8" s="1"/>
  <c r="L1197" i="8"/>
  <c r="L1193" i="8" s="1"/>
  <c r="N1198" i="8"/>
  <c r="Q1198" i="8" s="1"/>
  <c r="N1194" i="8"/>
  <c r="Q1194" i="8" s="1"/>
  <c r="L1231" i="8"/>
  <c r="L1227" i="8" s="1"/>
  <c r="N1232" i="8"/>
  <c r="P1232" i="8" s="1"/>
  <c r="N1228" i="8"/>
  <c r="Q1228" i="8" s="1"/>
  <c r="L1019" i="8"/>
  <c r="L1016" i="8" s="1"/>
  <c r="N1020" i="8"/>
  <c r="N979" i="8"/>
  <c r="L964" i="8"/>
  <c r="N1017" i="8"/>
  <c r="Q1017" i="8" s="1"/>
  <c r="L905" i="8"/>
  <c r="L902" i="8" s="1"/>
  <c r="N906" i="8"/>
  <c r="L855" i="8"/>
  <c r="N869" i="8"/>
  <c r="N903" i="8"/>
  <c r="Q903" i="8" s="1"/>
  <c r="N430" i="8"/>
  <c r="Q430" i="8" s="1"/>
  <c r="N389" i="8"/>
  <c r="P389" i="8" s="1"/>
  <c r="P388" i="8" s="1"/>
  <c r="P386" i="8" s="1"/>
  <c r="L388" i="8"/>
  <c r="N246" i="8"/>
  <c r="N244" i="8" s="1"/>
  <c r="L244" i="8"/>
  <c r="N140" i="8"/>
  <c r="Q140" i="8" s="1"/>
  <c r="N240" i="8"/>
  <c r="L140" i="8"/>
  <c r="K853" i="8"/>
  <c r="L430" i="8"/>
  <c r="L1754" i="8"/>
  <c r="N1754" i="8" s="1"/>
  <c r="K1193" i="8"/>
  <c r="Q122" i="8" l="1"/>
  <c r="N1451" i="8"/>
  <c r="Q188" i="8"/>
  <c r="R188" i="8"/>
  <c r="Q1452" i="8"/>
  <c r="N1508" i="8"/>
  <c r="Q1594" i="8"/>
  <c r="N239" i="8"/>
  <c r="Q250" i="8"/>
  <c r="P244" i="8"/>
  <c r="P239" i="8" s="1"/>
  <c r="P237" i="8" s="1"/>
  <c r="Q243" i="8"/>
  <c r="Q1511" i="8"/>
  <c r="N221" i="8"/>
  <c r="Q1229" i="8"/>
  <c r="Q1215" i="8"/>
  <c r="P1231" i="8"/>
  <c r="P1227" i="8" s="1"/>
  <c r="P1225" i="8" s="1"/>
  <c r="P1019" i="8"/>
  <c r="P1016" i="8" s="1"/>
  <c r="P1014" i="8" s="1"/>
  <c r="P964" i="8"/>
  <c r="P961" i="8" s="1"/>
  <c r="P906" i="8"/>
  <c r="P905" i="8" s="1"/>
  <c r="Q478" i="8"/>
  <c r="P855" i="8"/>
  <c r="P853" i="8" s="1"/>
  <c r="N570" i="8"/>
  <c r="Q570" i="8" s="1"/>
  <c r="N1231" i="8"/>
  <c r="Q1232" i="8"/>
  <c r="P117" i="8"/>
  <c r="N388" i="8"/>
  <c r="N855" i="8"/>
  <c r="N905" i="8"/>
  <c r="N964" i="8"/>
  <c r="N1197" i="8"/>
  <c r="Q1197" i="8" s="1"/>
  <c r="N1019" i="8"/>
  <c r="N428" i="8"/>
  <c r="Q428" i="8" s="1"/>
  <c r="N135" i="8"/>
  <c r="N121" i="8" s="1"/>
  <c r="L135" i="8"/>
  <c r="L133" i="8" s="1"/>
  <c r="K516" i="8"/>
  <c r="L533" i="8"/>
  <c r="K490" i="8"/>
  <c r="L499" i="8"/>
  <c r="N499" i="8" s="1"/>
  <c r="Q499" i="8" s="1"/>
  <c r="L498" i="8"/>
  <c r="N1442" i="8" l="1"/>
  <c r="N1450" i="8"/>
  <c r="Q121" i="8"/>
  <c r="R112" i="8"/>
  <c r="Q112" i="8"/>
  <c r="Q1451" i="8"/>
  <c r="Q1454" i="8"/>
  <c r="Q1508" i="8"/>
  <c r="Q244" i="8"/>
  <c r="Q246" i="8"/>
  <c r="Q240" i="8"/>
  <c r="Q221" i="8"/>
  <c r="Q1019" i="8"/>
  <c r="Q223" i="8"/>
  <c r="Q388" i="8"/>
  <c r="Q1231" i="8"/>
  <c r="Q135" i="8"/>
  <c r="Q964" i="8"/>
  <c r="Q1020" i="8"/>
  <c r="Q979" i="8"/>
  <c r="P902" i="8"/>
  <c r="P900" i="8" s="1"/>
  <c r="Q905" i="8"/>
  <c r="Q906" i="8"/>
  <c r="Q855" i="8"/>
  <c r="Q869" i="8"/>
  <c r="N1227" i="8"/>
  <c r="Q1227" i="8" s="1"/>
  <c r="N386" i="8"/>
  <c r="N902" i="8"/>
  <c r="N961" i="8"/>
  <c r="N1016" i="8"/>
  <c r="Q1016" i="8" s="1"/>
  <c r="N1193" i="8"/>
  <c r="Q1193" i="8" s="1"/>
  <c r="N133" i="8"/>
  <c r="Q133" i="8" s="1"/>
  <c r="L496" i="8"/>
  <c r="L492" i="8" s="1"/>
  <c r="N498" i="8"/>
  <c r="N496" i="8" s="1"/>
  <c r="N533" i="8"/>
  <c r="L516" i="8"/>
  <c r="L514" i="8" s="1"/>
  <c r="K75" i="8"/>
  <c r="L1656" i="8"/>
  <c r="L208" i="8"/>
  <c r="K1667" i="8"/>
  <c r="L23" i="8"/>
  <c r="N23" i="8" s="1"/>
  <c r="K1076" i="8"/>
  <c r="K1073" i="8" s="1"/>
  <c r="H162" i="8"/>
  <c r="H1687" i="8"/>
  <c r="H1688" i="8"/>
  <c r="H1705" i="8"/>
  <c r="H1722" i="8"/>
  <c r="H1723" i="8"/>
  <c r="H1724" i="8"/>
  <c r="H1725" i="8"/>
  <c r="H1726" i="8"/>
  <c r="H1727" i="8"/>
  <c r="H1728" i="8"/>
  <c r="H1729" i="8"/>
  <c r="H1730" i="8"/>
  <c r="H1731" i="8"/>
  <c r="H1667" i="8"/>
  <c r="H1661" i="8"/>
  <c r="H1665" i="8"/>
  <c r="H1666" i="8"/>
  <c r="H1640" i="8"/>
  <c r="H1641" i="8"/>
  <c r="H1642" i="8"/>
  <c r="H1643" i="8"/>
  <c r="H1644" i="8"/>
  <c r="H1645" i="8"/>
  <c r="H1646" i="8"/>
  <c r="H1588" i="8"/>
  <c r="H1426" i="8"/>
  <c r="H1320" i="8"/>
  <c r="H1318" i="8" s="1"/>
  <c r="H1295" i="8"/>
  <c r="H1265" i="8"/>
  <c r="H1258" i="8"/>
  <c r="H1257" i="8" s="1"/>
  <c r="H1223" i="8"/>
  <c r="H1187" i="8"/>
  <c r="H1153" i="8"/>
  <c r="H1098" i="8"/>
  <c r="H1096" i="8" s="1"/>
  <c r="H1067" i="8"/>
  <c r="H942" i="8"/>
  <c r="H924" i="8"/>
  <c r="H628" i="8"/>
  <c r="G516" i="8"/>
  <c r="H471" i="8"/>
  <c r="L1751" i="8"/>
  <c r="Q961" i="8" l="1"/>
  <c r="Q23" i="8"/>
  <c r="Q386" i="8"/>
  <c r="Q498" i="8"/>
  <c r="N492" i="8"/>
  <c r="N1225" i="8"/>
  <c r="Q1225" i="8" s="1"/>
  <c r="N900" i="8"/>
  <c r="Q900" i="8" s="1"/>
  <c r="Q902" i="8"/>
  <c r="N1191" i="8"/>
  <c r="Q1191" i="8" s="1"/>
  <c r="N1014" i="8"/>
  <c r="Q1014" i="8" s="1"/>
  <c r="N516" i="8"/>
  <c r="N1656" i="8"/>
  <c r="N1655" i="8" s="1"/>
  <c r="L1655" i="8"/>
  <c r="Q1655" i="8" s="1"/>
  <c r="N1751" i="8"/>
  <c r="L1753" i="8"/>
  <c r="L1151" i="8"/>
  <c r="N1151" i="8" s="1"/>
  <c r="Q1151" i="8" s="1"/>
  <c r="N1753" i="8" l="1"/>
  <c r="Q516" i="8"/>
  <c r="Q496" i="8"/>
  <c r="Q533" i="8"/>
  <c r="Q492" i="8"/>
  <c r="N514" i="8"/>
  <c r="L1626" i="8"/>
  <c r="N1626" i="8" s="1"/>
  <c r="P1626" i="8" s="1"/>
  <c r="L1627" i="8"/>
  <c r="N1627" i="8" s="1"/>
  <c r="P1627" i="8" s="1"/>
  <c r="L1628" i="8"/>
  <c r="N1628" i="8" s="1"/>
  <c r="P1628" i="8" s="1"/>
  <c r="L1629" i="8"/>
  <c r="N1629" i="8" s="1"/>
  <c r="P1629" i="8" s="1"/>
  <c r="L1630" i="8"/>
  <c r="N1630" i="8" s="1"/>
  <c r="P1630" i="8" s="1"/>
  <c r="L1631" i="8"/>
  <c r="N1631" i="8" s="1"/>
  <c r="P1631" i="8" s="1"/>
  <c r="L1632" i="8"/>
  <c r="N1632" i="8" s="1"/>
  <c r="P1632" i="8" s="1"/>
  <c r="L1633" i="8"/>
  <c r="N1633" i="8" s="1"/>
  <c r="P1633" i="8" s="1"/>
  <c r="L1634" i="8"/>
  <c r="N1634" i="8" s="1"/>
  <c r="L1635" i="8"/>
  <c r="N1635" i="8" s="1"/>
  <c r="L1636" i="8"/>
  <c r="N1636" i="8" s="1"/>
  <c r="P1636" i="8" s="1"/>
  <c r="L1637" i="8"/>
  <c r="N1637" i="8" s="1"/>
  <c r="P1637" i="8" s="1"/>
  <c r="L1638" i="8"/>
  <c r="N1638" i="8" s="1"/>
  <c r="P1638" i="8" s="1"/>
  <c r="L1639" i="8"/>
  <c r="N1639" i="8" s="1"/>
  <c r="P1639" i="8" s="1"/>
  <c r="L1640" i="8"/>
  <c r="N1640" i="8" s="1"/>
  <c r="L1641" i="8"/>
  <c r="N1641" i="8" s="1"/>
  <c r="L1642" i="8"/>
  <c r="N1642" i="8" s="1"/>
  <c r="L1643" i="8"/>
  <c r="N1643" i="8" s="1"/>
  <c r="L1644" i="8"/>
  <c r="N1644" i="8" s="1"/>
  <c r="L1645" i="8"/>
  <c r="N1645" i="8" s="1"/>
  <c r="P1645" i="8" s="1"/>
  <c r="L1646" i="8"/>
  <c r="N1646" i="8" s="1"/>
  <c r="P1646" i="8" s="1"/>
  <c r="L1625" i="8"/>
  <c r="K1161" i="8"/>
  <c r="K1157" i="8" s="1"/>
  <c r="L1158" i="8"/>
  <c r="L1159" i="8"/>
  <c r="N1159" i="8" s="1"/>
  <c r="Q1159" i="8" s="1"/>
  <c r="L1160" i="8"/>
  <c r="N1160" i="8" s="1"/>
  <c r="Q1160" i="8" s="1"/>
  <c r="L1162" i="8"/>
  <c r="L1163" i="8"/>
  <c r="N1163" i="8" s="1"/>
  <c r="Q1163" i="8" s="1"/>
  <c r="L1164" i="8"/>
  <c r="N1164" i="8" s="1"/>
  <c r="Q1164" i="8" s="1"/>
  <c r="L1165" i="8"/>
  <c r="N1165" i="8" s="1"/>
  <c r="Q1165" i="8" s="1"/>
  <c r="L1166" i="8"/>
  <c r="N1166" i="8" s="1"/>
  <c r="Q1166" i="8" s="1"/>
  <c r="L1167" i="8"/>
  <c r="N1167" i="8" s="1"/>
  <c r="Q1167" i="8" s="1"/>
  <c r="L1168" i="8"/>
  <c r="N1168" i="8" s="1"/>
  <c r="Q1168" i="8" s="1"/>
  <c r="L1169" i="8"/>
  <c r="N1169" i="8" s="1"/>
  <c r="Q1169" i="8" s="1"/>
  <c r="L1170" i="8"/>
  <c r="N1170" i="8" s="1"/>
  <c r="L1171" i="8"/>
  <c r="N1171" i="8" s="1"/>
  <c r="Q1171" i="8" s="1"/>
  <c r="L1172" i="8"/>
  <c r="N1172" i="8" s="1"/>
  <c r="Q1172" i="8" s="1"/>
  <c r="L1173" i="8"/>
  <c r="N1173" i="8" s="1"/>
  <c r="Q1173" i="8" s="1"/>
  <c r="L1174" i="8"/>
  <c r="N1174" i="8" s="1"/>
  <c r="Q1174" i="8" s="1"/>
  <c r="L1176" i="8"/>
  <c r="N1176" i="8" s="1"/>
  <c r="Q1176" i="8" s="1"/>
  <c r="L1177" i="8"/>
  <c r="N1177" i="8" s="1"/>
  <c r="L1178" i="8"/>
  <c r="N1178" i="8" s="1"/>
  <c r="L1179" i="8"/>
  <c r="N1179" i="8" s="1"/>
  <c r="L1180" i="8"/>
  <c r="N1180" i="8" s="1"/>
  <c r="L1156" i="8"/>
  <c r="N1156" i="8" s="1"/>
  <c r="Q1156" i="8" s="1"/>
  <c r="K1126" i="8"/>
  <c r="L1123" i="8"/>
  <c r="L1124" i="8"/>
  <c r="N1124" i="8" s="1"/>
  <c r="Q1124" i="8" s="1"/>
  <c r="L1125" i="8"/>
  <c r="N1125" i="8" s="1"/>
  <c r="Q1125" i="8" s="1"/>
  <c r="L1127" i="8"/>
  <c r="L1128" i="8"/>
  <c r="N1128" i="8" s="1"/>
  <c r="Q1128" i="8" s="1"/>
  <c r="L1129" i="8"/>
  <c r="N1129" i="8" s="1"/>
  <c r="Q1129" i="8" s="1"/>
  <c r="L1130" i="8"/>
  <c r="N1130" i="8" s="1"/>
  <c r="Q1130" i="8" s="1"/>
  <c r="L1131" i="8"/>
  <c r="N1131" i="8" s="1"/>
  <c r="Q1131" i="8" s="1"/>
  <c r="L1132" i="8"/>
  <c r="N1132" i="8" s="1"/>
  <c r="Q1132" i="8" s="1"/>
  <c r="L1133" i="8"/>
  <c r="N1133" i="8" s="1"/>
  <c r="Q1133" i="8" s="1"/>
  <c r="L1134" i="8"/>
  <c r="N1134" i="8" s="1"/>
  <c r="Q1134" i="8" s="1"/>
  <c r="L1135" i="8"/>
  <c r="N1135" i="8" s="1"/>
  <c r="Q1135" i="8" s="1"/>
  <c r="L1136" i="8"/>
  <c r="N1136" i="8" s="1"/>
  <c r="Q1136" i="8" s="1"/>
  <c r="L1137" i="8"/>
  <c r="N1137" i="8" s="1"/>
  <c r="Q1137" i="8" s="1"/>
  <c r="L1138" i="8"/>
  <c r="N1138" i="8" s="1"/>
  <c r="Q1138" i="8" s="1"/>
  <c r="L1139" i="8"/>
  <c r="N1139" i="8" s="1"/>
  <c r="Q1139" i="8" s="1"/>
  <c r="L1140" i="8"/>
  <c r="N1140" i="8" s="1"/>
  <c r="Q1140" i="8" s="1"/>
  <c r="L1141" i="8"/>
  <c r="N1141" i="8" s="1"/>
  <c r="Q1141" i="8" s="1"/>
  <c r="L1143" i="8"/>
  <c r="N1143" i="8" s="1"/>
  <c r="Q1143" i="8" s="1"/>
  <c r="L1144" i="8"/>
  <c r="N1144" i="8" s="1"/>
  <c r="L1121" i="8"/>
  <c r="N1121" i="8" s="1"/>
  <c r="Q1121" i="8" s="1"/>
  <c r="K1098" i="8"/>
  <c r="L1099" i="8"/>
  <c r="L1100" i="8"/>
  <c r="N1100" i="8" s="1"/>
  <c r="Q1100" i="8" s="1"/>
  <c r="L1111" i="8"/>
  <c r="N1111" i="8" s="1"/>
  <c r="Q1111" i="8" s="1"/>
  <c r="L1112" i="8"/>
  <c r="N1112" i="8" s="1"/>
  <c r="Q1112" i="8" s="1"/>
  <c r="L1113" i="8"/>
  <c r="N1113" i="8" s="1"/>
  <c r="Q1113" i="8" s="1"/>
  <c r="L1115" i="8"/>
  <c r="N1115" i="8" s="1"/>
  <c r="Q1115" i="8" s="1"/>
  <c r="L1116" i="8"/>
  <c r="N1116" i="8" s="1"/>
  <c r="Q1116" i="8" s="1"/>
  <c r="L1117" i="8"/>
  <c r="N1117" i="8" s="1"/>
  <c r="Q1117" i="8" s="1"/>
  <c r="L1118" i="8"/>
  <c r="N1118" i="8" s="1"/>
  <c r="Q1118" i="8" s="1"/>
  <c r="L1119" i="8"/>
  <c r="N1119" i="8" s="1"/>
  <c r="Q1119" i="8" s="1"/>
  <c r="L1097" i="8"/>
  <c r="N1097" i="8" s="1"/>
  <c r="K880" i="8"/>
  <c r="K877" i="8" s="1"/>
  <c r="L878" i="8"/>
  <c r="L879" i="8"/>
  <c r="N879" i="8" s="1"/>
  <c r="Q879" i="8" s="1"/>
  <c r="L881" i="8"/>
  <c r="L882" i="8"/>
  <c r="N882" i="8" s="1"/>
  <c r="Q882" i="8" s="1"/>
  <c r="L883" i="8"/>
  <c r="N883" i="8" s="1"/>
  <c r="Q883" i="8" s="1"/>
  <c r="L884" i="8"/>
  <c r="N884" i="8" s="1"/>
  <c r="Q884" i="8" s="1"/>
  <c r="L885" i="8"/>
  <c r="N885" i="8" s="1"/>
  <c r="Q885" i="8" s="1"/>
  <c r="L886" i="8"/>
  <c r="N886" i="8" s="1"/>
  <c r="Q886" i="8" s="1"/>
  <c r="L887" i="8"/>
  <c r="N887" i="8" s="1"/>
  <c r="Q887" i="8" s="1"/>
  <c r="L888" i="8"/>
  <c r="N888" i="8" s="1"/>
  <c r="L889" i="8"/>
  <c r="N889" i="8" s="1"/>
  <c r="L891" i="8"/>
  <c r="N891" i="8" s="1"/>
  <c r="L892" i="8"/>
  <c r="N892" i="8" s="1"/>
  <c r="L893" i="8"/>
  <c r="N893" i="8" s="1"/>
  <c r="L895" i="8"/>
  <c r="N895" i="8" s="1"/>
  <c r="L896" i="8"/>
  <c r="N896" i="8" s="1"/>
  <c r="L898" i="8"/>
  <c r="N898" i="8" s="1"/>
  <c r="L899" i="8"/>
  <c r="N899" i="8" s="1"/>
  <c r="L876" i="8"/>
  <c r="N876" i="8" s="1"/>
  <c r="Q876" i="8" s="1"/>
  <c r="K836" i="8"/>
  <c r="K833" i="8" s="1"/>
  <c r="L834" i="8"/>
  <c r="L835" i="8"/>
  <c r="N835" i="8" s="1"/>
  <c r="Q835" i="8" s="1"/>
  <c r="L837" i="8"/>
  <c r="L838" i="8"/>
  <c r="N838" i="8" s="1"/>
  <c r="Q838" i="8" s="1"/>
  <c r="L839" i="8"/>
  <c r="N839" i="8" s="1"/>
  <c r="L840" i="8"/>
  <c r="N840" i="8" s="1"/>
  <c r="L841" i="8"/>
  <c r="N841" i="8" s="1"/>
  <c r="L842" i="8"/>
  <c r="N842" i="8" s="1"/>
  <c r="L843" i="8"/>
  <c r="N843" i="8" s="1"/>
  <c r="L844" i="8"/>
  <c r="N844" i="8" s="1"/>
  <c r="L846" i="8"/>
  <c r="N846" i="8" s="1"/>
  <c r="L847" i="8"/>
  <c r="N847" i="8" s="1"/>
  <c r="L848" i="8"/>
  <c r="N848" i="8" s="1"/>
  <c r="L850" i="8"/>
  <c r="N850" i="8" s="1"/>
  <c r="L851" i="8"/>
  <c r="N851" i="8" s="1"/>
  <c r="L852" i="8"/>
  <c r="N852" i="8" s="1"/>
  <c r="L832" i="8"/>
  <c r="N832" i="8" s="1"/>
  <c r="Q832" i="8" s="1"/>
  <c r="K635" i="8"/>
  <c r="L634" i="8"/>
  <c r="L636" i="8"/>
  <c r="L641" i="8"/>
  <c r="N641" i="8" s="1"/>
  <c r="L643" i="8"/>
  <c r="N643" i="8" s="1"/>
  <c r="L644" i="8"/>
  <c r="N644" i="8" s="1"/>
  <c r="L645" i="8"/>
  <c r="N645" i="8" s="1"/>
  <c r="L646" i="8"/>
  <c r="N646" i="8" s="1"/>
  <c r="L647" i="8"/>
  <c r="N647" i="8" s="1"/>
  <c r="L633" i="8"/>
  <c r="P1753" i="8" l="1"/>
  <c r="Q1751" i="8"/>
  <c r="Q1097" i="8"/>
  <c r="Q1178" i="8"/>
  <c r="P1170" i="8"/>
  <c r="P1161" i="8" s="1"/>
  <c r="Q1179" i="8"/>
  <c r="Q1177" i="8"/>
  <c r="P1180" i="8"/>
  <c r="Q1180" i="8" s="1"/>
  <c r="P898" i="8"/>
  <c r="Q898" i="8" s="1"/>
  <c r="Q896" i="8"/>
  <c r="Q895" i="8"/>
  <c r="P899" i="8"/>
  <c r="Q899" i="8" s="1"/>
  <c r="Q893" i="8"/>
  <c r="P892" i="8"/>
  <c r="Q850" i="8"/>
  <c r="Q847" i="8"/>
  <c r="Q843" i="8"/>
  <c r="Q842" i="8"/>
  <c r="Q851" i="8"/>
  <c r="Q848" i="8"/>
  <c r="Q846" i="8"/>
  <c r="Q841" i="8"/>
  <c r="Q839" i="8"/>
  <c r="Q844" i="8"/>
  <c r="Q646" i="8"/>
  <c r="Q647" i="8"/>
  <c r="N1625" i="8"/>
  <c r="L1624" i="8"/>
  <c r="N1158" i="8"/>
  <c r="Q1158" i="8" s="1"/>
  <c r="N1162" i="8"/>
  <c r="Q1162" i="8" s="1"/>
  <c r="L1161" i="8"/>
  <c r="L1157" i="8" s="1"/>
  <c r="L1126" i="8"/>
  <c r="L1122" i="8" s="1"/>
  <c r="N1127" i="8"/>
  <c r="Q1127" i="8" s="1"/>
  <c r="N1123" i="8"/>
  <c r="Q1123" i="8" s="1"/>
  <c r="N1099" i="8"/>
  <c r="Q1099" i="8" s="1"/>
  <c r="L1098" i="8"/>
  <c r="N878" i="8"/>
  <c r="Q878" i="8" s="1"/>
  <c r="N834" i="8"/>
  <c r="Q834" i="8" s="1"/>
  <c r="L880" i="8"/>
  <c r="L877" i="8" s="1"/>
  <c r="N881" i="8"/>
  <c r="Q881" i="8" s="1"/>
  <c r="N837" i="8"/>
  <c r="Q837" i="8" s="1"/>
  <c r="L836" i="8"/>
  <c r="L833" i="8" s="1"/>
  <c r="N636" i="8"/>
  <c r="L635" i="8"/>
  <c r="N633" i="8"/>
  <c r="N634" i="8"/>
  <c r="Q634" i="8" s="1"/>
  <c r="K1122" i="8"/>
  <c r="K1120" i="8" s="1"/>
  <c r="H344" i="8"/>
  <c r="H342" i="8"/>
  <c r="H232" i="8"/>
  <c r="H183" i="8"/>
  <c r="H181" i="8" s="1"/>
  <c r="H175" i="8" s="1"/>
  <c r="H166" i="8"/>
  <c r="H165" i="8" s="1"/>
  <c r="G1669" i="8"/>
  <c r="H1547" i="8"/>
  <c r="H1533" i="8"/>
  <c r="G1594" i="8"/>
  <c r="G1538" i="8"/>
  <c r="G1498" i="8"/>
  <c r="G1508" i="8"/>
  <c r="G1408" i="8"/>
  <c r="G1360" i="8"/>
  <c r="G1318" i="8"/>
  <c r="G1299" i="8"/>
  <c r="G1267" i="8"/>
  <c r="G1257" i="8"/>
  <c r="G1251" i="8"/>
  <c r="G1227" i="8"/>
  <c r="G1225" i="8" s="1"/>
  <c r="G1193" i="8"/>
  <c r="G1189" i="8"/>
  <c r="G1155" i="8"/>
  <c r="G1122" i="8"/>
  <c r="G1071" i="8"/>
  <c r="G1067" i="8"/>
  <c r="G1043" i="8"/>
  <c r="G964" i="8"/>
  <c r="G961" i="8" s="1"/>
  <c r="G732" i="8"/>
  <c r="G632" i="8"/>
  <c r="G627" i="8"/>
  <c r="G514" i="8"/>
  <c r="G430" i="8"/>
  <c r="G428" i="8" s="1"/>
  <c r="G386" i="8"/>
  <c r="G311" i="8"/>
  <c r="G280" i="8"/>
  <c r="G270" i="8"/>
  <c r="G237" i="8"/>
  <c r="G202" i="8"/>
  <c r="G194" i="8"/>
  <c r="G181" i="8"/>
  <c r="G175" i="8" s="1"/>
  <c r="G165" i="8"/>
  <c r="G162" i="8"/>
  <c r="G160" i="8"/>
  <c r="G133" i="8"/>
  <c r="G123" i="8"/>
  <c r="G297" i="8"/>
  <c r="G10" i="8"/>
  <c r="K1337" i="8"/>
  <c r="K1334" i="8" s="1"/>
  <c r="L1343" i="8"/>
  <c r="K1753" i="8"/>
  <c r="L1588" i="8"/>
  <c r="K1553" i="8"/>
  <c r="L1547" i="8"/>
  <c r="K1538" i="8"/>
  <c r="L1262" i="8"/>
  <c r="L1263" i="8"/>
  <c r="N1263" i="8" s="1"/>
  <c r="Q1263" i="8" s="1"/>
  <c r="L1264" i="8"/>
  <c r="N1264" i="8" s="1"/>
  <c r="Q1264" i="8" s="1"/>
  <c r="L1260" i="8"/>
  <c r="N1260" i="8" s="1"/>
  <c r="Q1260" i="8" s="1"/>
  <c r="K1261" i="8"/>
  <c r="L1266" i="8"/>
  <c r="K1265" i="8"/>
  <c r="L1533" i="8"/>
  <c r="K1508" i="8"/>
  <c r="K1456" i="8"/>
  <c r="K1428" i="8"/>
  <c r="L1428" i="8"/>
  <c r="L1426" i="8"/>
  <c r="K1401" i="8"/>
  <c r="L1401" i="8"/>
  <c r="K1374" i="8"/>
  <c r="L1374" i="8"/>
  <c r="K1360" i="8"/>
  <c r="L1360" i="8"/>
  <c r="K1350" i="8"/>
  <c r="L1350" i="8"/>
  <c r="K1321" i="8"/>
  <c r="L1299" i="8"/>
  <c r="L1295" i="8"/>
  <c r="K1267" i="8"/>
  <c r="L1257" i="8"/>
  <c r="L1254" i="8"/>
  <c r="L1255" i="8"/>
  <c r="N1255" i="8" s="1"/>
  <c r="Q1255" i="8" s="1"/>
  <c r="L1256" i="8"/>
  <c r="N1256" i="8" s="1"/>
  <c r="Q1256" i="8" s="1"/>
  <c r="L1252" i="8"/>
  <c r="N1252" i="8" s="1"/>
  <c r="Q1252" i="8" s="1"/>
  <c r="K1253" i="8"/>
  <c r="K1225" i="8"/>
  <c r="L1223" i="8"/>
  <c r="L1220" i="8"/>
  <c r="L1221" i="8"/>
  <c r="N1221" i="8" s="1"/>
  <c r="Q1221" i="8" s="1"/>
  <c r="L1222" i="8"/>
  <c r="N1222" i="8" s="1"/>
  <c r="Q1222" i="8" s="1"/>
  <c r="L1218" i="8"/>
  <c r="N1218" i="8" s="1"/>
  <c r="Q1218" i="8" s="1"/>
  <c r="K1219" i="8"/>
  <c r="K1191" i="8"/>
  <c r="L1189" i="8"/>
  <c r="K1187" i="8"/>
  <c r="L1187" i="8"/>
  <c r="L1184" i="8"/>
  <c r="L1185" i="8"/>
  <c r="N1185" i="8" s="1"/>
  <c r="Q1185" i="8" s="1"/>
  <c r="L1186" i="8"/>
  <c r="N1186" i="8" s="1"/>
  <c r="Q1186" i="8" s="1"/>
  <c r="K1183" i="8"/>
  <c r="K1181" i="8" s="1"/>
  <c r="L1182" i="8"/>
  <c r="N1182" i="8" s="1"/>
  <c r="Q1182" i="8" s="1"/>
  <c r="K1155" i="8"/>
  <c r="K1153" i="8"/>
  <c r="L1153" i="8"/>
  <c r="L1150" i="8"/>
  <c r="L1152" i="8"/>
  <c r="N1152" i="8" s="1"/>
  <c r="Q1152" i="8" s="1"/>
  <c r="K1149" i="8"/>
  <c r="K1147" i="8" s="1"/>
  <c r="L1148" i="8"/>
  <c r="N1148" i="8" s="1"/>
  <c r="Q1148" i="8" s="1"/>
  <c r="K1096" i="8"/>
  <c r="K1071" i="8"/>
  <c r="L1067" i="8"/>
  <c r="K1040" i="8"/>
  <c r="L1040" i="8"/>
  <c r="K1014" i="8"/>
  <c r="K961" i="8"/>
  <c r="K988" i="8"/>
  <c r="K944" i="8"/>
  <c r="L946" i="8"/>
  <c r="L944" i="8" s="1"/>
  <c r="K942" i="8"/>
  <c r="L942" i="8"/>
  <c r="K936" i="8"/>
  <c r="L938" i="8"/>
  <c r="L936" i="8" s="1"/>
  <c r="K927" i="8"/>
  <c r="L927" i="8"/>
  <c r="K900" i="8"/>
  <c r="K875" i="8"/>
  <c r="L854" i="8"/>
  <c r="N854" i="8" s="1"/>
  <c r="K831" i="8"/>
  <c r="K820" i="8"/>
  <c r="L820" i="8"/>
  <c r="K802" i="8"/>
  <c r="L802" i="8"/>
  <c r="K785" i="8"/>
  <c r="L787" i="8"/>
  <c r="L785" i="8" s="1"/>
  <c r="K771" i="8"/>
  <c r="L771" i="8"/>
  <c r="K750" i="8"/>
  <c r="L750" i="8"/>
  <c r="K746" i="8"/>
  <c r="L746" i="8"/>
  <c r="K730" i="8"/>
  <c r="K707" i="8"/>
  <c r="L707" i="8"/>
  <c r="K684" i="8"/>
  <c r="K666" i="8"/>
  <c r="L668" i="8"/>
  <c r="L666" i="8" s="1"/>
  <c r="K648" i="8"/>
  <c r="L648" i="8"/>
  <c r="K632" i="8"/>
  <c r="K614" i="8"/>
  <c r="L614" i="8"/>
  <c r="K593" i="8"/>
  <c r="L595" i="8"/>
  <c r="L593" i="8" s="1"/>
  <c r="K570" i="8"/>
  <c r="K554" i="8"/>
  <c r="K539" i="8"/>
  <c r="K514" i="8"/>
  <c r="L491" i="8"/>
  <c r="K478" i="8"/>
  <c r="K446" i="8"/>
  <c r="K428" i="8"/>
  <c r="L428" i="8"/>
  <c r="K397" i="8"/>
  <c r="L403" i="8"/>
  <c r="L386" i="8"/>
  <c r="K386" i="8"/>
  <c r="K365" i="8"/>
  <c r="L367" i="8"/>
  <c r="L365" i="8" s="1"/>
  <c r="L344" i="8"/>
  <c r="K344" i="8"/>
  <c r="L342" i="8"/>
  <c r="K342" i="8"/>
  <c r="K311" i="8"/>
  <c r="L313" i="8"/>
  <c r="L311" i="8" s="1"/>
  <c r="K305" i="8"/>
  <c r="K294" i="8"/>
  <c r="L297" i="8"/>
  <c r="K278" i="8"/>
  <c r="L280" i="8"/>
  <c r="L278" i="8" s="1"/>
  <c r="L262" i="8" s="1"/>
  <c r="K268" i="8"/>
  <c r="L229" i="8"/>
  <c r="L221" i="8"/>
  <c r="L202" i="8"/>
  <c r="K208" i="8"/>
  <c r="K186" i="8" s="1"/>
  <c r="J208" i="8"/>
  <c r="L195" i="8"/>
  <c r="L196" i="8"/>
  <c r="L197" i="8"/>
  <c r="L198" i="8"/>
  <c r="L199" i="8"/>
  <c r="L200" i="8"/>
  <c r="N200" i="8" s="1"/>
  <c r="Q200" i="8" s="1"/>
  <c r="L193" i="8"/>
  <c r="N193" i="8" s="1"/>
  <c r="L166" i="8"/>
  <c r="N166" i="8" s="1"/>
  <c r="L160" i="8"/>
  <c r="L98" i="8"/>
  <c r="N98" i="8" s="1"/>
  <c r="Q98" i="8" s="1"/>
  <c r="L99" i="8"/>
  <c r="N99" i="8" s="1"/>
  <c r="Q99" i="8" s="1"/>
  <c r="L100" i="8"/>
  <c r="N100" i="8" s="1"/>
  <c r="Q100" i="8" s="1"/>
  <c r="L101" i="8"/>
  <c r="N101" i="8" s="1"/>
  <c r="Q101" i="8" s="1"/>
  <c r="L102" i="8"/>
  <c r="N102" i="8" s="1"/>
  <c r="Q102" i="8" s="1"/>
  <c r="L103" i="8"/>
  <c r="N103" i="8" s="1"/>
  <c r="Q103" i="8" s="1"/>
  <c r="L95" i="8"/>
  <c r="N95" i="8" s="1"/>
  <c r="Q95" i="8" s="1"/>
  <c r="L93" i="8"/>
  <c r="N93" i="8" s="1"/>
  <c r="N92" i="8" s="1"/>
  <c r="N1624" i="8" l="1"/>
  <c r="P1625" i="8"/>
  <c r="P1624" i="8" s="1"/>
  <c r="Q633" i="8"/>
  <c r="N361" i="8"/>
  <c r="Q361" i="8" s="1"/>
  <c r="Q193" i="8"/>
  <c r="N189" i="8"/>
  <c r="Q166" i="8"/>
  <c r="N119" i="8"/>
  <c r="N109" i="8" s="1"/>
  <c r="P1157" i="8"/>
  <c r="P1155" i="8" s="1"/>
  <c r="Q1170" i="8"/>
  <c r="Q1144" i="8"/>
  <c r="P877" i="8"/>
  <c r="P875" i="8" s="1"/>
  <c r="Q892" i="8"/>
  <c r="Q891" i="8"/>
  <c r="P836" i="8"/>
  <c r="P833" i="8" s="1"/>
  <c r="P831" i="8" s="1"/>
  <c r="Q840" i="8"/>
  <c r="P635" i="8"/>
  <c r="P632" i="8" s="1"/>
  <c r="Q643" i="8"/>
  <c r="Q514" i="8"/>
  <c r="K288" i="8"/>
  <c r="N635" i="8"/>
  <c r="Q636" i="8"/>
  <c r="Q93" i="8"/>
  <c r="N165" i="8"/>
  <c r="Q165" i="8" s="1"/>
  <c r="N1126" i="8"/>
  <c r="N853" i="8"/>
  <c r="N836" i="8"/>
  <c r="N1161" i="8"/>
  <c r="Q1161" i="8" s="1"/>
  <c r="N880" i="8"/>
  <c r="Q880" i="8" s="1"/>
  <c r="N1098" i="8"/>
  <c r="L1337" i="8"/>
  <c r="L1334" i="8" s="1"/>
  <c r="N1343" i="8"/>
  <c r="L1219" i="8"/>
  <c r="N1220" i="8"/>
  <c r="Q1220" i="8" s="1"/>
  <c r="L1261" i="8"/>
  <c r="N1262" i="8"/>
  <c r="Q1262" i="8" s="1"/>
  <c r="L1183" i="8"/>
  <c r="N1184" i="8"/>
  <c r="Q1184" i="8" s="1"/>
  <c r="L1149" i="8"/>
  <c r="N1150" i="8"/>
  <c r="Q1150" i="8" s="1"/>
  <c r="L1253" i="8"/>
  <c r="N1254" i="8"/>
  <c r="Q1254" i="8" s="1"/>
  <c r="L1265" i="8"/>
  <c r="N1266" i="8"/>
  <c r="Q1266" i="8" s="1"/>
  <c r="N491" i="8"/>
  <c r="N362" i="8" s="1"/>
  <c r="L490" i="8"/>
  <c r="L399" i="8"/>
  <c r="L397" i="8" s="1"/>
  <c r="N96" i="8"/>
  <c r="L96" i="8"/>
  <c r="L165" i="8"/>
  <c r="L117" i="8" s="1"/>
  <c r="L92" i="8"/>
  <c r="L75" i="8" s="1"/>
  <c r="L294" i="8"/>
  <c r="L684" i="8"/>
  <c r="G1747" i="8"/>
  <c r="G117" i="8"/>
  <c r="G192" i="8"/>
  <c r="G278" i="8"/>
  <c r="L1410" i="8"/>
  <c r="L1408" i="8" s="1"/>
  <c r="G294" i="8"/>
  <c r="G288" i="8" s="1"/>
  <c r="H297" i="8"/>
  <c r="H294" i="8" s="1"/>
  <c r="G201" i="8"/>
  <c r="G8" i="8"/>
  <c r="G104" i="8" s="1"/>
  <c r="G268" i="8"/>
  <c r="G1120" i="8"/>
  <c r="G1593" i="8"/>
  <c r="G1450" i="8" s="1"/>
  <c r="G1040" i="8"/>
  <c r="G730" i="8"/>
  <c r="G359" i="8" s="1"/>
  <c r="G1191" i="8"/>
  <c r="K1450" i="8"/>
  <c r="K1259" i="8"/>
  <c r="K1251" i="8"/>
  <c r="K1217" i="8"/>
  <c r="K262" i="8"/>
  <c r="L39" i="8"/>
  <c r="N39" i="8" s="1"/>
  <c r="Q39" i="8" s="1"/>
  <c r="L41" i="8"/>
  <c r="N41" i="8" s="1"/>
  <c r="Q41" i="8" s="1"/>
  <c r="L42" i="8"/>
  <c r="N42" i="8" s="1"/>
  <c r="Q42" i="8" s="1"/>
  <c r="L43" i="8"/>
  <c r="N43" i="8" s="1"/>
  <c r="L44" i="8"/>
  <c r="N44" i="8" s="1"/>
  <c r="Q44" i="8" s="1"/>
  <c r="L45" i="8"/>
  <c r="N45" i="8" s="1"/>
  <c r="L46" i="8"/>
  <c r="N46" i="8" s="1"/>
  <c r="Q46" i="8" s="1"/>
  <c r="L48" i="8"/>
  <c r="N48" i="8" s="1"/>
  <c r="Q48" i="8" s="1"/>
  <c r="L49" i="8"/>
  <c r="N49" i="8" s="1"/>
  <c r="Q49" i="8" s="1"/>
  <c r="L50" i="8"/>
  <c r="N50" i="8" s="1"/>
  <c r="Q50" i="8" s="1"/>
  <c r="L51" i="8"/>
  <c r="N51" i="8" s="1"/>
  <c r="Q51" i="8" s="1"/>
  <c r="L52" i="8"/>
  <c r="N52" i="8" s="1"/>
  <c r="Q52" i="8" s="1"/>
  <c r="L53" i="8"/>
  <c r="N53" i="8" s="1"/>
  <c r="Q53" i="8" s="1"/>
  <c r="L54" i="8"/>
  <c r="N54" i="8" s="1"/>
  <c r="Q54" i="8" s="1"/>
  <c r="L55" i="8"/>
  <c r="N55" i="8" s="1"/>
  <c r="Q55" i="8" s="1"/>
  <c r="L57" i="8"/>
  <c r="N57" i="8" s="1"/>
  <c r="Q57" i="8" s="1"/>
  <c r="L58" i="8"/>
  <c r="N58" i="8" s="1"/>
  <c r="Q58" i="8" s="1"/>
  <c r="L59" i="8"/>
  <c r="N59" i="8" s="1"/>
  <c r="Q59" i="8" s="1"/>
  <c r="L62" i="8"/>
  <c r="N62" i="8" s="1"/>
  <c r="Q62" i="8" s="1"/>
  <c r="L63" i="8"/>
  <c r="N63" i="8" s="1"/>
  <c r="Q63" i="8" s="1"/>
  <c r="L60" i="8"/>
  <c r="N60" i="8" s="1"/>
  <c r="Q60" i="8" s="1"/>
  <c r="L61" i="8"/>
  <c r="N61" i="8" s="1"/>
  <c r="Q61" i="8" s="1"/>
  <c r="L64" i="8"/>
  <c r="N64" i="8" s="1"/>
  <c r="Q64" i="8" s="1"/>
  <c r="L65" i="8"/>
  <c r="N65" i="8" s="1"/>
  <c r="Q65" i="8" s="1"/>
  <c r="L66" i="8"/>
  <c r="N66" i="8" s="1"/>
  <c r="Q66" i="8" s="1"/>
  <c r="L67" i="8"/>
  <c r="N67" i="8" s="1"/>
  <c r="Q67" i="8" s="1"/>
  <c r="L68" i="8"/>
  <c r="N68" i="8" s="1"/>
  <c r="Q68" i="8" s="1"/>
  <c r="L70" i="8"/>
  <c r="N70" i="8" s="1"/>
  <c r="Q70" i="8" s="1"/>
  <c r="L71" i="8"/>
  <c r="N71" i="8" s="1"/>
  <c r="P71" i="8" s="1"/>
  <c r="Q71" i="8" s="1"/>
  <c r="L72" i="8"/>
  <c r="N72" i="8" s="1"/>
  <c r="Q72" i="8" s="1"/>
  <c r="L73" i="8"/>
  <c r="N73" i="8" s="1"/>
  <c r="Q73" i="8" s="1"/>
  <c r="L74" i="8"/>
  <c r="N74" i="8" s="1"/>
  <c r="Q74" i="8" s="1"/>
  <c r="L16" i="8"/>
  <c r="N16" i="8" s="1"/>
  <c r="L17" i="8"/>
  <c r="N17" i="8" s="1"/>
  <c r="L18" i="8"/>
  <c r="N18" i="8" s="1"/>
  <c r="L19" i="8"/>
  <c r="N19" i="8" s="1"/>
  <c r="L20" i="8"/>
  <c r="N20" i="8" s="1"/>
  <c r="L21" i="8"/>
  <c r="N21" i="8" s="1"/>
  <c r="L24" i="8"/>
  <c r="N24" i="8" s="1"/>
  <c r="L25" i="8"/>
  <c r="N25" i="8" s="1"/>
  <c r="L26" i="8"/>
  <c r="N26" i="8" s="1"/>
  <c r="L27" i="8"/>
  <c r="N27" i="8" s="1"/>
  <c r="L28" i="8"/>
  <c r="N28" i="8" s="1"/>
  <c r="L29" i="8"/>
  <c r="N29" i="8" s="1"/>
  <c r="L30" i="8"/>
  <c r="N30" i="8" s="1"/>
  <c r="L31" i="8"/>
  <c r="N31" i="8" s="1"/>
  <c r="L33" i="8"/>
  <c r="N33" i="8" s="1"/>
  <c r="L34" i="8"/>
  <c r="N34" i="8" s="1"/>
  <c r="L35" i="8"/>
  <c r="N35" i="8" s="1"/>
  <c r="L36" i="8"/>
  <c r="N36" i="8" s="1"/>
  <c r="L37" i="8"/>
  <c r="N37" i="8" s="1"/>
  <c r="L9" i="8"/>
  <c r="L7" i="8"/>
  <c r="N7" i="8" s="1"/>
  <c r="K5" i="8"/>
  <c r="K104" i="8" s="1"/>
  <c r="P363" i="8" l="1"/>
  <c r="P360" i="8" s="1"/>
  <c r="R109" i="8"/>
  <c r="Q109" i="8"/>
  <c r="R189" i="8"/>
  <c r="Q189" i="8"/>
  <c r="Q18" i="8"/>
  <c r="Q92" i="8"/>
  <c r="Q29" i="8"/>
  <c r="Q16" i="8"/>
  <c r="Q28" i="8"/>
  <c r="Q17" i="8"/>
  <c r="Q7" i="8"/>
  <c r="S7" i="8"/>
  <c r="Q31" i="8"/>
  <c r="Q27" i="8"/>
  <c r="Q25" i="8"/>
  <c r="Q37" i="8"/>
  <c r="Q24" i="8"/>
  <c r="Q96" i="8"/>
  <c r="Q30" i="8"/>
  <c r="Q21" i="8"/>
  <c r="Q20" i="8"/>
  <c r="Q19" i="8"/>
  <c r="Q1098" i="8"/>
  <c r="N958" i="8"/>
  <c r="R958" i="8" s="1"/>
  <c r="Q491" i="8"/>
  <c r="Q362" i="8"/>
  <c r="N118" i="8"/>
  <c r="Q118" i="8" s="1"/>
  <c r="Q119" i="8"/>
  <c r="Q853" i="8"/>
  <c r="Q854" i="8"/>
  <c r="Q836" i="8"/>
  <c r="Q635" i="8"/>
  <c r="N75" i="8"/>
  <c r="N1122" i="8"/>
  <c r="Q1122" i="8" s="1"/>
  <c r="Q1126" i="8"/>
  <c r="N117" i="8"/>
  <c r="N833" i="8"/>
  <c r="N877" i="8"/>
  <c r="N1337" i="8"/>
  <c r="N1265" i="8"/>
  <c r="Q1265" i="8" s="1"/>
  <c r="N1253" i="8"/>
  <c r="Q1253" i="8" s="1"/>
  <c r="N1149" i="8"/>
  <c r="Q1149" i="8" s="1"/>
  <c r="N1219" i="8"/>
  <c r="Q1219" i="8" s="1"/>
  <c r="N1157" i="8"/>
  <c r="Q1157" i="8" s="1"/>
  <c r="N1183" i="8"/>
  <c r="Q1183" i="8" s="1"/>
  <c r="N1096" i="8"/>
  <c r="Q1096" i="8" s="1"/>
  <c r="N1261" i="8"/>
  <c r="Q1261" i="8" s="1"/>
  <c r="N490" i="8"/>
  <c r="G186" i="8"/>
  <c r="N38" i="8"/>
  <c r="N10" i="8"/>
  <c r="N47" i="8"/>
  <c r="Q47" i="8" s="1"/>
  <c r="N9" i="8"/>
  <c r="N56" i="8"/>
  <c r="Q56" i="8" s="1"/>
  <c r="L56" i="8"/>
  <c r="L38" i="8"/>
  <c r="L47" i="8"/>
  <c r="L10" i="8"/>
  <c r="G262" i="8"/>
  <c r="G955" i="8"/>
  <c r="K955" i="8"/>
  <c r="K1669" i="8"/>
  <c r="K1747" i="8" s="1"/>
  <c r="L1672" i="8"/>
  <c r="N1672" i="8" s="1"/>
  <c r="L1673" i="8"/>
  <c r="N1673" i="8" s="1"/>
  <c r="L1674" i="8"/>
  <c r="N1674" i="8" s="1"/>
  <c r="P1674" i="8" s="1"/>
  <c r="L1675" i="8"/>
  <c r="N1675" i="8" s="1"/>
  <c r="L1676" i="8"/>
  <c r="N1676" i="8" s="1"/>
  <c r="P1676" i="8" s="1"/>
  <c r="L1677" i="8"/>
  <c r="N1677" i="8" s="1"/>
  <c r="L1678" i="8"/>
  <c r="N1678" i="8" s="1"/>
  <c r="P1678" i="8" s="1"/>
  <c r="L1679" i="8"/>
  <c r="N1679" i="8" s="1"/>
  <c r="L1680" i="8"/>
  <c r="N1680" i="8" s="1"/>
  <c r="P1680" i="8" s="1"/>
  <c r="L1681" i="8"/>
  <c r="N1681" i="8" s="1"/>
  <c r="P1681" i="8" s="1"/>
  <c r="L1682" i="8"/>
  <c r="N1682" i="8" s="1"/>
  <c r="L1683" i="8"/>
  <c r="N1683" i="8" s="1"/>
  <c r="P1683" i="8" s="1"/>
  <c r="L1684" i="8"/>
  <c r="N1684" i="8" s="1"/>
  <c r="P1684" i="8" s="1"/>
  <c r="L1685" i="8"/>
  <c r="N1685" i="8" s="1"/>
  <c r="L1686" i="8"/>
  <c r="N1686" i="8" s="1"/>
  <c r="L1687" i="8"/>
  <c r="N1687" i="8" s="1"/>
  <c r="L1688" i="8"/>
  <c r="N1688" i="8" s="1"/>
  <c r="P1688" i="8" s="1"/>
  <c r="L1689" i="8"/>
  <c r="N1689" i="8" s="1"/>
  <c r="P1689" i="8" s="1"/>
  <c r="L1690" i="8"/>
  <c r="N1690" i="8" s="1"/>
  <c r="L1691" i="8"/>
  <c r="N1691" i="8" s="1"/>
  <c r="P1691" i="8" s="1"/>
  <c r="L1692" i="8"/>
  <c r="N1692" i="8" s="1"/>
  <c r="L1693" i="8"/>
  <c r="N1693" i="8" s="1"/>
  <c r="P1693" i="8" s="1"/>
  <c r="L1694" i="8"/>
  <c r="N1694" i="8" s="1"/>
  <c r="L1695" i="8"/>
  <c r="N1695" i="8" s="1"/>
  <c r="N1696" i="8"/>
  <c r="P1696" i="8" s="1"/>
  <c r="L1697" i="8"/>
  <c r="N1697" i="8" s="1"/>
  <c r="L1698" i="8"/>
  <c r="N1698" i="8" s="1"/>
  <c r="L1699" i="8"/>
  <c r="N1699" i="8" s="1"/>
  <c r="L1700" i="8"/>
  <c r="N1700" i="8" s="1"/>
  <c r="P1700" i="8" s="1"/>
  <c r="L1701" i="8"/>
  <c r="N1701" i="8" s="1"/>
  <c r="P1701" i="8" s="1"/>
  <c r="L1702" i="8"/>
  <c r="N1702" i="8" s="1"/>
  <c r="P1702" i="8" s="1"/>
  <c r="L1703" i="8"/>
  <c r="N1703" i="8" s="1"/>
  <c r="L1704" i="8"/>
  <c r="N1704" i="8" s="1"/>
  <c r="P1704" i="8" s="1"/>
  <c r="L1705" i="8"/>
  <c r="N1705" i="8" s="1"/>
  <c r="P1705" i="8" s="1"/>
  <c r="L1706" i="8"/>
  <c r="N1706" i="8" s="1"/>
  <c r="P1706" i="8" s="1"/>
  <c r="L1707" i="8"/>
  <c r="N1707" i="8" s="1"/>
  <c r="L1708" i="8"/>
  <c r="N1708" i="8" s="1"/>
  <c r="L1709" i="8"/>
  <c r="N1709" i="8" s="1"/>
  <c r="L1710" i="8"/>
  <c r="N1710" i="8" s="1"/>
  <c r="P1710" i="8" s="1"/>
  <c r="L1711" i="8"/>
  <c r="N1711" i="8" s="1"/>
  <c r="P1711" i="8" s="1"/>
  <c r="L1712" i="8"/>
  <c r="N1712" i="8" s="1"/>
  <c r="P1712" i="8" s="1"/>
  <c r="L1713" i="8"/>
  <c r="N1713" i="8" s="1"/>
  <c r="L1715" i="8"/>
  <c r="N1715" i="8" s="1"/>
  <c r="L1716" i="8"/>
  <c r="N1716" i="8" s="1"/>
  <c r="P1716" i="8" s="1"/>
  <c r="L1717" i="8"/>
  <c r="N1717" i="8" s="1"/>
  <c r="L1718" i="8"/>
  <c r="N1718" i="8" s="1"/>
  <c r="P1718" i="8" s="1"/>
  <c r="L1719" i="8"/>
  <c r="N1719" i="8" s="1"/>
  <c r="P1719" i="8" s="1"/>
  <c r="L1720" i="8"/>
  <c r="N1720" i="8" s="1"/>
  <c r="P1720" i="8" s="1"/>
  <c r="L1721" i="8"/>
  <c r="N1721" i="8" s="1"/>
  <c r="P1721" i="8" s="1"/>
  <c r="L1722" i="8"/>
  <c r="N1722" i="8" s="1"/>
  <c r="L1723" i="8"/>
  <c r="N1723" i="8" s="1"/>
  <c r="L1724" i="8"/>
  <c r="N1724" i="8" s="1"/>
  <c r="L1725" i="8"/>
  <c r="N1725" i="8" s="1"/>
  <c r="P1725" i="8" s="1"/>
  <c r="L1726" i="8"/>
  <c r="N1726" i="8" s="1"/>
  <c r="L1727" i="8"/>
  <c r="N1727" i="8" s="1"/>
  <c r="P1727" i="8" s="1"/>
  <c r="L1728" i="8"/>
  <c r="N1728" i="8" s="1"/>
  <c r="L1729" i="8"/>
  <c r="N1729" i="8" s="1"/>
  <c r="L1730" i="8"/>
  <c r="N1730" i="8" s="1"/>
  <c r="L1731" i="8"/>
  <c r="N1731" i="8" s="1"/>
  <c r="L1671" i="8"/>
  <c r="N1671" i="8" s="1"/>
  <c r="Q117" i="8" l="1"/>
  <c r="N110" i="8"/>
  <c r="N363" i="8"/>
  <c r="N360" i="8" s="1"/>
  <c r="P359" i="8"/>
  <c r="P955" i="8"/>
  <c r="P959" i="8"/>
  <c r="P956" i="8" s="1"/>
  <c r="P1669" i="8"/>
  <c r="P1747" i="8" s="1"/>
  <c r="Q10" i="8"/>
  <c r="Q38" i="8"/>
  <c r="Q75" i="8"/>
  <c r="Q1337" i="8"/>
  <c r="Q1343" i="8"/>
  <c r="Q958" i="8"/>
  <c r="N959" i="8"/>
  <c r="N956" i="8" s="1"/>
  <c r="Q490" i="8"/>
  <c r="N1120" i="8"/>
  <c r="Q1120" i="8" s="1"/>
  <c r="N875" i="8"/>
  <c r="Q875" i="8" s="1"/>
  <c r="Q877" i="8"/>
  <c r="N831" i="8"/>
  <c r="Q831" i="8" s="1"/>
  <c r="Q833" i="8"/>
  <c r="P8" i="8"/>
  <c r="N8" i="8"/>
  <c r="N1251" i="8"/>
  <c r="Q1251" i="8" s="1"/>
  <c r="N1259" i="8"/>
  <c r="Q1259" i="8" s="1"/>
  <c r="N1181" i="8"/>
  <c r="Q1181" i="8" s="1"/>
  <c r="N1155" i="8"/>
  <c r="Q1155" i="8" s="1"/>
  <c r="N1334" i="8"/>
  <c r="Q1334" i="8" s="1"/>
  <c r="N1217" i="8"/>
  <c r="Q1217" i="8" s="1"/>
  <c r="N1147" i="8"/>
  <c r="Q1147" i="8" s="1"/>
  <c r="N1669" i="8"/>
  <c r="N1747" i="8" s="1"/>
  <c r="L8" i="8"/>
  <c r="G1618" i="8"/>
  <c r="G1619" i="8" s="1"/>
  <c r="G1748" i="8" s="1"/>
  <c r="L1669" i="8"/>
  <c r="L1747" i="8" s="1"/>
  <c r="J576" i="8"/>
  <c r="R110" i="8" l="1"/>
  <c r="Q110" i="8"/>
  <c r="R959" i="8"/>
  <c r="Q8" i="8"/>
  <c r="R956" i="8"/>
  <c r="Q360" i="8"/>
  <c r="Q363" i="8"/>
  <c r="Q959" i="8"/>
  <c r="Q9" i="8"/>
  <c r="J572" i="8"/>
  <c r="L570" i="8"/>
  <c r="J1477" i="8"/>
  <c r="Q956" i="8" l="1"/>
  <c r="P104" i="8"/>
  <c r="I1553" i="8"/>
  <c r="I1538" i="8"/>
  <c r="I1430" i="8"/>
  <c r="I1412" i="8"/>
  <c r="I1410" i="8" s="1"/>
  <c r="I1098" i="8"/>
  <c r="I1096" i="8" s="1"/>
  <c r="J1412" i="8"/>
  <c r="J1410" i="8" s="1"/>
  <c r="J1337" i="8"/>
  <c r="J1197" i="8"/>
  <c r="J1193" i="8" s="1"/>
  <c r="L1191" i="8" s="1"/>
  <c r="J1098" i="8"/>
  <c r="L1096" i="8" s="1"/>
  <c r="J635" i="8"/>
  <c r="I1257" i="8"/>
  <c r="J632" i="8" l="1"/>
  <c r="I690" i="8"/>
  <c r="I598" i="8"/>
  <c r="I595" i="8" s="1"/>
  <c r="I559" i="8"/>
  <c r="I520" i="8"/>
  <c r="I516" i="8" s="1"/>
  <c r="I514" i="8" s="1"/>
  <c r="I480" i="8"/>
  <c r="I452" i="8"/>
  <c r="I448" i="8" s="1"/>
  <c r="I369" i="8"/>
  <c r="I367" i="8" s="1"/>
  <c r="I365" i="8" s="1"/>
  <c r="I306" i="8"/>
  <c r="I297" i="8"/>
  <c r="F67" i="8"/>
  <c r="H67" i="8" s="1"/>
  <c r="I96" i="8"/>
  <c r="J1753" i="8"/>
  <c r="J1669" i="8"/>
  <c r="J1667" i="8"/>
  <c r="J732" i="8"/>
  <c r="L632" i="8" l="1"/>
  <c r="J1747" i="8"/>
  <c r="J1596" i="8"/>
  <c r="J1594" i="8" s="1"/>
  <c r="J1588" i="8"/>
  <c r="J1553" i="8"/>
  <c r="J1547" i="8"/>
  <c r="J1538" i="8"/>
  <c r="J1533" i="8"/>
  <c r="J1500" i="8"/>
  <c r="J1498" i="8" s="1"/>
  <c r="J1514" i="8"/>
  <c r="J1426" i="8"/>
  <c r="J1379" i="8"/>
  <c r="J1352" i="8"/>
  <c r="J1350" i="8" s="1"/>
  <c r="J1324" i="8"/>
  <c r="J1321" i="8" s="1"/>
  <c r="J1318" i="8"/>
  <c r="J1297" i="8"/>
  <c r="J1295" i="8"/>
  <c r="J1265" i="8"/>
  <c r="J1261" i="8"/>
  <c r="J1257" i="8"/>
  <c r="J1253" i="8"/>
  <c r="J1231" i="8"/>
  <c r="L1225" i="8" s="1"/>
  <c r="J1223" i="8"/>
  <c r="J1219" i="8"/>
  <c r="J1189" i="8"/>
  <c r="J1187" i="8"/>
  <c r="J1183" i="8"/>
  <c r="E1157" i="8"/>
  <c r="J1153" i="8"/>
  <c r="J1149" i="8"/>
  <c r="E1122" i="8"/>
  <c r="J1126" i="8"/>
  <c r="J1076" i="8"/>
  <c r="J1067" i="8"/>
  <c r="J1046" i="8"/>
  <c r="J1043" i="8" s="1"/>
  <c r="J1019" i="8"/>
  <c r="J994" i="8"/>
  <c r="L991" i="8" s="1"/>
  <c r="L988" i="8" s="1"/>
  <c r="J946" i="8"/>
  <c r="J944" i="8" s="1"/>
  <c r="J942" i="8"/>
  <c r="J938" i="8"/>
  <c r="J936" i="8" s="1"/>
  <c r="J927" i="8"/>
  <c r="J924" i="8"/>
  <c r="J905" i="8"/>
  <c r="J858" i="8"/>
  <c r="J855" i="8" s="1"/>
  <c r="J822" i="8"/>
  <c r="J820" i="8" s="1"/>
  <c r="J773" i="8"/>
  <c r="J771" i="8" s="1"/>
  <c r="J746" i="8"/>
  <c r="J713" i="8"/>
  <c r="J709" i="8" s="1"/>
  <c r="J707" i="8" s="1"/>
  <c r="J690" i="8"/>
  <c r="J686" i="8" s="1"/>
  <c r="J684" i="8" s="1"/>
  <c r="J672" i="8"/>
  <c r="J668" i="8" s="1"/>
  <c r="J666" i="8" s="1"/>
  <c r="J627" i="8"/>
  <c r="J616" i="8"/>
  <c r="J614" i="8" s="1"/>
  <c r="J598" i="8"/>
  <c r="J595" i="8" s="1"/>
  <c r="J593" i="8" s="1"/>
  <c r="J570" i="8"/>
  <c r="J559" i="8"/>
  <c r="J541" i="8"/>
  <c r="J520" i="8"/>
  <c r="J471" i="8"/>
  <c r="J452" i="8"/>
  <c r="J448" i="8" s="1"/>
  <c r="J386" i="8"/>
  <c r="J344" i="8"/>
  <c r="J342" i="8"/>
  <c r="J313" i="8"/>
  <c r="J311" i="8" s="1"/>
  <c r="J306" i="8"/>
  <c r="J298" i="8"/>
  <c r="J297" i="8" s="1"/>
  <c r="J294" i="8" s="1"/>
  <c r="J280" i="8"/>
  <c r="J278" i="8" s="1"/>
  <c r="J270" i="8"/>
  <c r="J268" i="8" s="1"/>
  <c r="J244" i="8"/>
  <c r="J230" i="8"/>
  <c r="J229" i="8" s="1"/>
  <c r="J221" i="8"/>
  <c r="J214" i="8"/>
  <c r="J212" i="8" s="1"/>
  <c r="J202" i="8"/>
  <c r="J201" i="8" s="1"/>
  <c r="L201" i="8" s="1"/>
  <c r="J194" i="8"/>
  <c r="L194" i="8" s="1"/>
  <c r="J181" i="8"/>
  <c r="J175" i="8" s="1"/>
  <c r="J167" i="8"/>
  <c r="J165" i="8"/>
  <c r="J160" i="8"/>
  <c r="J125" i="8"/>
  <c r="J123" i="8" s="1"/>
  <c r="J730" i="8"/>
  <c r="J967" i="8"/>
  <c r="J791" i="8"/>
  <c r="J787" i="8" s="1"/>
  <c r="J785" i="8" s="1"/>
  <c r="J836" i="8"/>
  <c r="J880" i="8"/>
  <c r="J480" i="8"/>
  <c r="J478" i="8" s="1"/>
  <c r="J496" i="8"/>
  <c r="J403" i="8"/>
  <c r="J399" i="8" s="1"/>
  <c r="J397" i="8" s="1"/>
  <c r="J430" i="8"/>
  <c r="J428" i="8" s="1"/>
  <c r="J369" i="8"/>
  <c r="J367" i="8" s="1"/>
  <c r="J365" i="8" s="1"/>
  <c r="J1430" i="8"/>
  <c r="J1428" i="8" s="1"/>
  <c r="J1096" i="8"/>
  <c r="N632" i="8" l="1"/>
  <c r="Q632" i="8" s="1"/>
  <c r="M632" i="8"/>
  <c r="J8" i="8"/>
  <c r="J833" i="8"/>
  <c r="J239" i="8"/>
  <c r="J237" i="8" s="1"/>
  <c r="J539" i="8"/>
  <c r="L539" i="8"/>
  <c r="J853" i="8"/>
  <c r="L853" i="8"/>
  <c r="J1016" i="8"/>
  <c r="L1014" i="8" s="1"/>
  <c r="J1511" i="8"/>
  <c r="J1508" i="8" s="1"/>
  <c r="L1511" i="8"/>
  <c r="L1508" i="8" s="1"/>
  <c r="L1450" i="8" s="1"/>
  <c r="L1444" i="8" s="1"/>
  <c r="L1442" i="8" s="1"/>
  <c r="J877" i="8"/>
  <c r="J305" i="8"/>
  <c r="L305" i="8" s="1"/>
  <c r="L288" i="8" s="1"/>
  <c r="L306" i="8"/>
  <c r="J446" i="8"/>
  <c r="J425" i="8" s="1"/>
  <c r="J423" i="8" s="1"/>
  <c r="J902" i="8"/>
  <c r="J1593" i="8"/>
  <c r="J964" i="8"/>
  <c r="J961" i="8" s="1"/>
  <c r="L961" i="8"/>
  <c r="J516" i="8"/>
  <c r="J514" i="8" s="1"/>
  <c r="J1259" i="8"/>
  <c r="L1259" i="8"/>
  <c r="J1251" i="8"/>
  <c r="L1251" i="8"/>
  <c r="J1217" i="8"/>
  <c r="L1217" i="8"/>
  <c r="J1181" i="8"/>
  <c r="L1181" i="8"/>
  <c r="J1147" i="8"/>
  <c r="L1147" i="8"/>
  <c r="J192" i="8"/>
  <c r="J117" i="8"/>
  <c r="J75" i="8"/>
  <c r="J556" i="8"/>
  <c r="J1376" i="8"/>
  <c r="J1374" i="8" s="1"/>
  <c r="J1122" i="8"/>
  <c r="J1456" i="8"/>
  <c r="J991" i="8"/>
  <c r="J988" i="8" s="1"/>
  <c r="J1073" i="8"/>
  <c r="J1071" i="8" s="1"/>
  <c r="J1227" i="8"/>
  <c r="J1225" i="8" s="1"/>
  <c r="J262" i="8"/>
  <c r="J492" i="8"/>
  <c r="J490" i="8" s="1"/>
  <c r="J1401" i="8"/>
  <c r="J1040" i="8"/>
  <c r="J1394" i="8"/>
  <c r="J1392" i="8" s="1"/>
  <c r="Q201" i="8" l="1"/>
  <c r="Q306" i="8"/>
  <c r="N292" i="8"/>
  <c r="J288" i="8"/>
  <c r="N305" i="8"/>
  <c r="Q305" i="8" s="1"/>
  <c r="J186" i="8"/>
  <c r="L239" i="8"/>
  <c r="L237" i="8" s="1"/>
  <c r="J1014" i="8"/>
  <c r="J1450" i="8"/>
  <c r="J1444" i="8" s="1"/>
  <c r="J1442" i="8" s="1"/>
  <c r="J1120" i="8"/>
  <c r="L1120" i="8"/>
  <c r="J900" i="8"/>
  <c r="L900" i="8"/>
  <c r="J554" i="8"/>
  <c r="L192" i="8"/>
  <c r="J875" i="8"/>
  <c r="L875" i="8"/>
  <c r="J831" i="8"/>
  <c r="L831" i="8"/>
  <c r="J1191" i="8"/>
  <c r="N289" i="8" l="1"/>
  <c r="Q289" i="8" s="1"/>
  <c r="Q292" i="8"/>
  <c r="N288" i="8"/>
  <c r="Q288" i="8" s="1"/>
  <c r="L186" i="8"/>
  <c r="L554" i="8"/>
  <c r="L359" i="8" s="1"/>
  <c r="Q239" i="8"/>
  <c r="M239" i="8"/>
  <c r="M237" i="8" s="1"/>
  <c r="M186" i="8" s="1"/>
  <c r="J756" i="8"/>
  <c r="J752" i="8" s="1"/>
  <c r="J750" i="8" s="1"/>
  <c r="J804" i="8"/>
  <c r="J802" i="8" s="1"/>
  <c r="J1161" i="8"/>
  <c r="J1408" i="8"/>
  <c r="J1363" i="8"/>
  <c r="J1273" i="8"/>
  <c r="J651" i="8"/>
  <c r="J648" i="8" s="1"/>
  <c r="J1299" i="8"/>
  <c r="J1334" i="8"/>
  <c r="Q1450" i="8" l="1"/>
  <c r="Q1593" i="8"/>
  <c r="N237" i="8"/>
  <c r="Q237" i="8" s="1"/>
  <c r="N554" i="8"/>
  <c r="N359" i="8" s="1"/>
  <c r="M554" i="8"/>
  <c r="M359" i="8" s="1"/>
  <c r="J1157" i="8"/>
  <c r="L1155" i="8" s="1"/>
  <c r="J1362" i="8"/>
  <c r="J1360" i="8" s="1"/>
  <c r="J1269" i="8"/>
  <c r="J359" i="8"/>
  <c r="E1669" i="8"/>
  <c r="E1073" i="8"/>
  <c r="E1071" i="8" s="1"/>
  <c r="F1097" i="8"/>
  <c r="F1099" i="8"/>
  <c r="F1100" i="8"/>
  <c r="F1101" i="8"/>
  <c r="F1111" i="8"/>
  <c r="F1112" i="8"/>
  <c r="F1113" i="8"/>
  <c r="F1115" i="8"/>
  <c r="F1117" i="8"/>
  <c r="F1118" i="8"/>
  <c r="F1119" i="8"/>
  <c r="E1098" i="8"/>
  <c r="F1098" i="8" s="1"/>
  <c r="E1547" i="8"/>
  <c r="E1588" i="8"/>
  <c r="F1702" i="8"/>
  <c r="H1702" i="8" s="1"/>
  <c r="E1227" i="8"/>
  <c r="E1225" i="8" s="1"/>
  <c r="E1155" i="8"/>
  <c r="E572" i="8"/>
  <c r="E570" i="8" s="1"/>
  <c r="E541" i="8"/>
  <c r="E539" i="8" s="1"/>
  <c r="E478" i="8"/>
  <c r="E47" i="8"/>
  <c r="E10" i="8"/>
  <c r="E900" i="8"/>
  <c r="I1753" i="8"/>
  <c r="I1667" i="8"/>
  <c r="E96" i="8"/>
  <c r="I75" i="8"/>
  <c r="I5" i="8"/>
  <c r="E1514" i="8"/>
  <c r="E1511" i="8" s="1"/>
  <c r="E1508" i="8" s="1"/>
  <c r="I1477" i="8"/>
  <c r="I1363" i="8"/>
  <c r="I1362" i="8" s="1"/>
  <c r="I1360" i="8" s="1"/>
  <c r="I478" i="8"/>
  <c r="I403" i="8"/>
  <c r="I399" i="8" s="1"/>
  <c r="I397" i="8" s="1"/>
  <c r="I214" i="8"/>
  <c r="I212" i="8" s="1"/>
  <c r="I140" i="8"/>
  <c r="I1669" i="8"/>
  <c r="F1556" i="8"/>
  <c r="H1556" i="8" s="1"/>
  <c r="F1558" i="8"/>
  <c r="H1558" i="8" s="1"/>
  <c r="F1559" i="8"/>
  <c r="H1559" i="8" s="1"/>
  <c r="F1560" i="8"/>
  <c r="H1560" i="8" s="1"/>
  <c r="F1561" i="8"/>
  <c r="H1561" i="8" s="1"/>
  <c r="F1562" i="8"/>
  <c r="H1562" i="8" s="1"/>
  <c r="F1563" i="8"/>
  <c r="H1563" i="8" s="1"/>
  <c r="F1567" i="8"/>
  <c r="H1567" i="8" s="1"/>
  <c r="F1570" i="8"/>
  <c r="H1570" i="8" s="1"/>
  <c r="F1578" i="8"/>
  <c r="H1578" i="8" s="1"/>
  <c r="F1571" i="8"/>
  <c r="H1571" i="8" s="1"/>
  <c r="F1583" i="8"/>
  <c r="H1583" i="8" s="1"/>
  <c r="F1574" i="8"/>
  <c r="H1574" i="8" s="1"/>
  <c r="F1555" i="8"/>
  <c r="H1555" i="8" s="1"/>
  <c r="F1540" i="8"/>
  <c r="F1541" i="8"/>
  <c r="F1542" i="8"/>
  <c r="F1539" i="8"/>
  <c r="F1500" i="8"/>
  <c r="F1501" i="8"/>
  <c r="F1502" i="8"/>
  <c r="F1503" i="8"/>
  <c r="F1504" i="8"/>
  <c r="F1505" i="8"/>
  <c r="F1507" i="8"/>
  <c r="F1399" i="8"/>
  <c r="H1399" i="8" s="1"/>
  <c r="F1190" i="8"/>
  <c r="H1190" i="8" s="1"/>
  <c r="H1189" i="8" s="1"/>
  <c r="F1188" i="8"/>
  <c r="F1077" i="8"/>
  <c r="H1077" i="8" s="1"/>
  <c r="F1068" i="8"/>
  <c r="F939" i="8"/>
  <c r="H939" i="8" s="1"/>
  <c r="F940" i="8"/>
  <c r="H940" i="8" s="1"/>
  <c r="F941" i="8"/>
  <c r="H941" i="8" s="1"/>
  <c r="F937" i="8"/>
  <c r="H937" i="8" s="1"/>
  <c r="F929" i="8"/>
  <c r="H929" i="8" s="1"/>
  <c r="F928" i="8"/>
  <c r="H928" i="8" s="1"/>
  <c r="F899" i="8"/>
  <c r="H899" i="8" s="1"/>
  <c r="F617" i="8"/>
  <c r="H617" i="8" s="1"/>
  <c r="F619" i="8"/>
  <c r="H619" i="8" s="1"/>
  <c r="F621" i="8"/>
  <c r="H621" i="8" s="1"/>
  <c r="F622" i="8"/>
  <c r="H622" i="8" s="1"/>
  <c r="F623" i="8"/>
  <c r="H623" i="8" s="1"/>
  <c r="F624" i="8"/>
  <c r="H624" i="8" s="1"/>
  <c r="F625" i="8"/>
  <c r="H625" i="8" s="1"/>
  <c r="F626" i="8"/>
  <c r="H626" i="8" s="1"/>
  <c r="F599" i="8"/>
  <c r="H599" i="8" s="1"/>
  <c r="F509" i="8"/>
  <c r="H509" i="8" s="1"/>
  <c r="F483" i="8"/>
  <c r="H483" i="8" s="1"/>
  <c r="F488" i="8"/>
  <c r="H488" i="8" s="1"/>
  <c r="F489" i="8"/>
  <c r="H489" i="8" s="1"/>
  <c r="F422" i="8"/>
  <c r="H422" i="8" s="1"/>
  <c r="F396" i="8"/>
  <c r="H396" i="8" s="1"/>
  <c r="F328" i="8"/>
  <c r="F281" i="8"/>
  <c r="H281" i="8" s="1"/>
  <c r="F231" i="8"/>
  <c r="H231" i="8" s="1"/>
  <c r="F233" i="8"/>
  <c r="H233" i="8" s="1"/>
  <c r="F234" i="8"/>
  <c r="H234" i="8" s="1"/>
  <c r="F235" i="8"/>
  <c r="H235" i="8" s="1"/>
  <c r="F236" i="8"/>
  <c r="H236" i="8" s="1"/>
  <c r="F203" i="8"/>
  <c r="H203" i="8" s="1"/>
  <c r="I181" i="8"/>
  <c r="I175" i="8" s="1"/>
  <c r="I165" i="8"/>
  <c r="I160" i="8"/>
  <c r="I1596" i="8"/>
  <c r="I1594" i="8" s="1"/>
  <c r="I1593" i="8" s="1"/>
  <c r="I1588" i="8"/>
  <c r="I1547" i="8"/>
  <c r="I1533" i="8"/>
  <c r="I1514" i="8"/>
  <c r="I1500" i="8"/>
  <c r="I1498" i="8" s="1"/>
  <c r="I1428" i="8"/>
  <c r="I1426" i="8"/>
  <c r="I1408" i="8"/>
  <c r="I1394" i="8"/>
  <c r="I1392" i="8" s="1"/>
  <c r="I1401" i="8"/>
  <c r="I1379" i="8"/>
  <c r="I1376" i="8" s="1"/>
  <c r="I1374" i="8" s="1"/>
  <c r="I1352" i="8"/>
  <c r="I1350" i="8" s="1"/>
  <c r="I1324" i="8"/>
  <c r="I1321" i="8" s="1"/>
  <c r="I1337" i="8"/>
  <c r="I1334" i="8" s="1"/>
  <c r="I1318" i="8"/>
  <c r="I1302" i="8"/>
  <c r="I1299" i="8" s="1"/>
  <c r="I1297" i="8"/>
  <c r="I1265" i="8"/>
  <c r="I1295" i="8"/>
  <c r="I1273" i="8"/>
  <c r="I1269" i="8" s="1"/>
  <c r="I1267" i="8" s="1"/>
  <c r="I1253" i="8"/>
  <c r="I1251" i="8" s="1"/>
  <c r="I1231" i="8"/>
  <c r="I1227" i="8" s="1"/>
  <c r="I1225" i="8" s="1"/>
  <c r="I1223" i="8"/>
  <c r="I1219" i="8"/>
  <c r="I1217" i="8" s="1"/>
  <c r="I1197" i="8"/>
  <c r="I1193" i="8" s="1"/>
  <c r="I1191" i="8" s="1"/>
  <c r="I1189" i="8"/>
  <c r="I1187" i="8"/>
  <c r="I1183" i="8"/>
  <c r="I1181" i="8" s="1"/>
  <c r="I1261" i="8"/>
  <c r="I1259" i="8" s="1"/>
  <c r="I1161" i="8"/>
  <c r="I1157" i="8" s="1"/>
  <c r="I1153" i="8"/>
  <c r="I1149" i="8"/>
  <c r="I1147" i="8" s="1"/>
  <c r="I1126" i="8"/>
  <c r="I1076" i="8"/>
  <c r="I1073" i="8" s="1"/>
  <c r="I1071" i="8" s="1"/>
  <c r="I1067" i="8"/>
  <c r="I1046" i="8"/>
  <c r="I1043" i="8" s="1"/>
  <c r="I1040" i="8" s="1"/>
  <c r="I1019" i="8"/>
  <c r="I1016" i="8" s="1"/>
  <c r="I1014" i="8" s="1"/>
  <c r="I994" i="8"/>
  <c r="I991" i="8" s="1"/>
  <c r="I988" i="8" s="1"/>
  <c r="I967" i="8"/>
  <c r="I964" i="8" s="1"/>
  <c r="I961" i="8" s="1"/>
  <c r="I946" i="8"/>
  <c r="I944" i="8" s="1"/>
  <c r="I942" i="8"/>
  <c r="I938" i="8"/>
  <c r="I936" i="8" s="1"/>
  <c r="I927" i="8"/>
  <c r="I924" i="8"/>
  <c r="I905" i="8"/>
  <c r="I902" i="8" s="1"/>
  <c r="I880" i="8"/>
  <c r="I877" i="8" s="1"/>
  <c r="I875" i="8" s="1"/>
  <c r="I858" i="8"/>
  <c r="I855" i="8" s="1"/>
  <c r="I853" i="8" s="1"/>
  <c r="I836" i="8"/>
  <c r="I833" i="8" s="1"/>
  <c r="I831" i="8" s="1"/>
  <c r="I822" i="8"/>
  <c r="I820" i="8" s="1"/>
  <c r="I804" i="8"/>
  <c r="I802" i="8" s="1"/>
  <c r="I791" i="8"/>
  <c r="I787" i="8" s="1"/>
  <c r="I785" i="8" s="1"/>
  <c r="I773" i="8"/>
  <c r="I771" i="8" s="1"/>
  <c r="I756" i="8"/>
  <c r="I752" i="8" s="1"/>
  <c r="I750" i="8" s="1"/>
  <c r="I746" i="8"/>
  <c r="I732" i="8"/>
  <c r="I730" i="8" s="1"/>
  <c r="I713" i="8"/>
  <c r="I709" i="8" s="1"/>
  <c r="I707" i="8" s="1"/>
  <c r="I686" i="8"/>
  <c r="I684" i="8" s="1"/>
  <c r="I672" i="8"/>
  <c r="I668" i="8" s="1"/>
  <c r="I666" i="8" s="1"/>
  <c r="I651" i="8"/>
  <c r="I650" i="8" s="1"/>
  <c r="I648" i="8" s="1"/>
  <c r="I635" i="8"/>
  <c r="I632" i="8" s="1"/>
  <c r="I627" i="8"/>
  <c r="I616" i="8"/>
  <c r="I614" i="8" s="1"/>
  <c r="I593" i="8"/>
  <c r="I576" i="8"/>
  <c r="I556" i="8"/>
  <c r="I554" i="8" s="1"/>
  <c r="I541" i="8"/>
  <c r="I539" i="8" s="1"/>
  <c r="I496" i="8"/>
  <c r="I492" i="8" s="1"/>
  <c r="I490" i="8" s="1"/>
  <c r="I471" i="8"/>
  <c r="I446" i="8"/>
  <c r="I425" i="8" s="1"/>
  <c r="I423" i="8" s="1"/>
  <c r="I430" i="8"/>
  <c r="I428" i="8" s="1"/>
  <c r="I314" i="8"/>
  <c r="I313" i="8" s="1"/>
  <c r="I305" i="8"/>
  <c r="I294" i="8"/>
  <c r="I280" i="8"/>
  <c r="I278" i="8" s="1"/>
  <c r="I270" i="8"/>
  <c r="I268" i="8" s="1"/>
  <c r="I244" i="8"/>
  <c r="I230" i="8"/>
  <c r="I229" i="8" s="1"/>
  <c r="I221" i="8"/>
  <c r="I202" i="8"/>
  <c r="I201" i="8" s="1"/>
  <c r="I194" i="8"/>
  <c r="I192" i="8" s="1"/>
  <c r="I388" i="8"/>
  <c r="I386" i="8" s="1"/>
  <c r="I350" i="8"/>
  <c r="I344" i="8" s="1"/>
  <c r="I342" i="8"/>
  <c r="I125" i="8"/>
  <c r="I123" i="8" s="1"/>
  <c r="F45" i="8"/>
  <c r="H45" i="8" s="1"/>
  <c r="F1535" i="8"/>
  <c r="F1348" i="8"/>
  <c r="E1337" i="8"/>
  <c r="E1334" i="8" s="1"/>
  <c r="E1269" i="8"/>
  <c r="E1193" i="8"/>
  <c r="E1187" i="8"/>
  <c r="E1067" i="8"/>
  <c r="E1040" i="8"/>
  <c r="E961" i="8"/>
  <c r="E942" i="8"/>
  <c r="E877" i="8"/>
  <c r="E875" i="8" s="1"/>
  <c r="E831" i="8"/>
  <c r="E746" i="8"/>
  <c r="E732" i="8"/>
  <c r="E632" i="8"/>
  <c r="F627" i="8"/>
  <c r="H627" i="8" s="1"/>
  <c r="E430" i="8"/>
  <c r="E428" i="8" s="1"/>
  <c r="E367" i="8"/>
  <c r="E342" i="8"/>
  <c r="E288" i="8" s="1"/>
  <c r="E278" i="8"/>
  <c r="E262" i="8" s="1"/>
  <c r="E237" i="8"/>
  <c r="E230" i="8"/>
  <c r="E229" i="8" s="1"/>
  <c r="E202" i="8"/>
  <c r="E201" i="8" s="1"/>
  <c r="F1625" i="8"/>
  <c r="E160" i="8"/>
  <c r="F89" i="8"/>
  <c r="H89" i="8" s="1"/>
  <c r="E162" i="8"/>
  <c r="E133" i="8"/>
  <c r="E123" i="8"/>
  <c r="F55" i="8"/>
  <c r="H55" i="8" s="1"/>
  <c r="Q359" i="8" l="1"/>
  <c r="Q554" i="8"/>
  <c r="H1625" i="8"/>
  <c r="M1267" i="8"/>
  <c r="M955" i="8" s="1"/>
  <c r="N1267" i="8"/>
  <c r="E186" i="8"/>
  <c r="E8" i="8"/>
  <c r="F8" i="8" s="1"/>
  <c r="J1155" i="8"/>
  <c r="E1450" i="8"/>
  <c r="J1267" i="8"/>
  <c r="L1267" i="8"/>
  <c r="H927" i="8"/>
  <c r="I1511" i="8"/>
  <c r="I1508" i="8" s="1"/>
  <c r="I900" i="8"/>
  <c r="I572" i="8"/>
  <c r="I570" i="8" s="1"/>
  <c r="I239" i="8"/>
  <c r="I237" i="8" s="1"/>
  <c r="I186" i="8" s="1"/>
  <c r="I135" i="8"/>
  <c r="I133" i="8" s="1"/>
  <c r="I117" i="8" s="1"/>
  <c r="I8" i="8"/>
  <c r="I1155" i="8"/>
  <c r="I1122" i="8"/>
  <c r="I1120" i="8" s="1"/>
  <c r="E1747" i="8"/>
  <c r="E1096" i="8"/>
  <c r="F1096" i="8" s="1"/>
  <c r="I1747" i="8"/>
  <c r="I1456" i="8"/>
  <c r="I262" i="8"/>
  <c r="E1267" i="8"/>
  <c r="E365" i="8"/>
  <c r="E730" i="8"/>
  <c r="E1120" i="8"/>
  <c r="E1191" i="8"/>
  <c r="I311" i="8"/>
  <c r="I288" i="8" s="1"/>
  <c r="E117" i="8"/>
  <c r="E75" i="8"/>
  <c r="F75" i="8" s="1"/>
  <c r="F1472" i="8"/>
  <c r="H1472" i="8" s="1"/>
  <c r="N955" i="8" l="1"/>
  <c r="Q1267" i="8"/>
  <c r="L955" i="8"/>
  <c r="L1618" i="8" s="1"/>
  <c r="M1618" i="8"/>
  <c r="J955" i="8"/>
  <c r="J1618" i="8" s="1"/>
  <c r="I955" i="8"/>
  <c r="I1450" i="8"/>
  <c r="I1444" i="8" s="1"/>
  <c r="I1442" i="8" s="1"/>
  <c r="I359" i="8"/>
  <c r="I104" i="8"/>
  <c r="E104" i="8"/>
  <c r="F104" i="8" s="1"/>
  <c r="E955" i="8"/>
  <c r="E359" i="8"/>
  <c r="F1686" i="8"/>
  <c r="H1686" i="8" s="1"/>
  <c r="F1636" i="8"/>
  <c r="H1636" i="8" s="1"/>
  <c r="F1671" i="8"/>
  <c r="H1671" i="8" s="1"/>
  <c r="F1672" i="8"/>
  <c r="H1672" i="8" s="1"/>
  <c r="F1673" i="8"/>
  <c r="H1673" i="8" s="1"/>
  <c r="F1674" i="8"/>
  <c r="H1674" i="8" s="1"/>
  <c r="F1675" i="8"/>
  <c r="H1675" i="8" s="1"/>
  <c r="F1676" i="8"/>
  <c r="H1676" i="8" s="1"/>
  <c r="F1677" i="8"/>
  <c r="H1677" i="8" s="1"/>
  <c r="F1678" i="8"/>
  <c r="H1678" i="8" s="1"/>
  <c r="F1679" i="8"/>
  <c r="H1679" i="8" s="1"/>
  <c r="F1680" i="8"/>
  <c r="H1680" i="8" s="1"/>
  <c r="F1681" i="8"/>
  <c r="H1681" i="8" s="1"/>
  <c r="F1682" i="8"/>
  <c r="H1682" i="8" s="1"/>
  <c r="F1683" i="8"/>
  <c r="H1683" i="8" s="1"/>
  <c r="F1684" i="8"/>
  <c r="H1684" i="8" s="1"/>
  <c r="F1685" i="8"/>
  <c r="H1685" i="8" s="1"/>
  <c r="F1689" i="8"/>
  <c r="H1689" i="8" s="1"/>
  <c r="F1690" i="8"/>
  <c r="H1690" i="8" s="1"/>
  <c r="F1691" i="8"/>
  <c r="H1691" i="8" s="1"/>
  <c r="F1692" i="8"/>
  <c r="H1692" i="8" s="1"/>
  <c r="F1693" i="8"/>
  <c r="H1693" i="8" s="1"/>
  <c r="F1694" i="8"/>
  <c r="H1694" i="8" s="1"/>
  <c r="F1695" i="8"/>
  <c r="H1695" i="8" s="1"/>
  <c r="F1697" i="8"/>
  <c r="H1697" i="8" s="1"/>
  <c r="F1698" i="8"/>
  <c r="H1698" i="8" s="1"/>
  <c r="F1699" i="8"/>
  <c r="H1699" i="8" s="1"/>
  <c r="F1700" i="8"/>
  <c r="H1700" i="8" s="1"/>
  <c r="F1701" i="8"/>
  <c r="H1701" i="8" s="1"/>
  <c r="F1703" i="8"/>
  <c r="H1703" i="8" s="1"/>
  <c r="F1704" i="8"/>
  <c r="H1704" i="8" s="1"/>
  <c r="F1706" i="8"/>
  <c r="H1706" i="8" s="1"/>
  <c r="F1707" i="8"/>
  <c r="H1707" i="8" s="1"/>
  <c r="F1708" i="8"/>
  <c r="H1708" i="8" s="1"/>
  <c r="F1709" i="8"/>
  <c r="H1709" i="8" s="1"/>
  <c r="F1710" i="8"/>
  <c r="H1710" i="8" s="1"/>
  <c r="F1711" i="8"/>
  <c r="H1711" i="8" s="1"/>
  <c r="F1712" i="8"/>
  <c r="H1712" i="8" s="1"/>
  <c r="F1713" i="8"/>
  <c r="H1713" i="8" s="1"/>
  <c r="F1715" i="8"/>
  <c r="H1715" i="8" s="1"/>
  <c r="F1716" i="8"/>
  <c r="H1716" i="8" s="1"/>
  <c r="F1717" i="8"/>
  <c r="H1717" i="8" s="1"/>
  <c r="F1718" i="8"/>
  <c r="H1718" i="8" s="1"/>
  <c r="F1719" i="8"/>
  <c r="H1719" i="8" s="1"/>
  <c r="F1720" i="8"/>
  <c r="H1720" i="8" s="1"/>
  <c r="F1721" i="8"/>
  <c r="H1721" i="8" s="1"/>
  <c r="F1670" i="8"/>
  <c r="H1670" i="8" s="1"/>
  <c r="Q955" i="8" l="1"/>
  <c r="R955" i="8"/>
  <c r="M1619" i="8"/>
  <c r="M1748" i="8" s="1"/>
  <c r="M1756" i="8" s="1"/>
  <c r="H1669" i="8"/>
  <c r="I1618" i="8"/>
  <c r="I1619" i="8" s="1"/>
  <c r="I1748" i="8" s="1"/>
  <c r="E1618" i="8"/>
  <c r="E1619" i="8" s="1"/>
  <c r="E1748" i="8" l="1"/>
  <c r="F533" i="8"/>
  <c r="H533" i="8" s="1"/>
  <c r="F508" i="8"/>
  <c r="H508" i="8" s="1"/>
  <c r="F1752" i="8" l="1"/>
  <c r="H1752" i="8" s="1"/>
  <c r="H1753" i="8" s="1"/>
  <c r="F1751" i="8"/>
  <c r="F1746" i="8"/>
  <c r="H1746" i="8" s="1"/>
  <c r="F1745" i="8"/>
  <c r="F1252" i="8"/>
  <c r="H1252" i="8" s="1"/>
  <c r="F1254" i="8"/>
  <c r="H1254" i="8" s="1"/>
  <c r="F1255" i="8"/>
  <c r="H1255" i="8" s="1"/>
  <c r="F1595" i="8"/>
  <c r="H1595" i="8" s="1"/>
  <c r="F1597" i="8"/>
  <c r="H1597" i="8" s="1"/>
  <c r="F1599" i="8"/>
  <c r="H1599" i="8" s="1"/>
  <c r="F1600" i="8"/>
  <c r="H1600" i="8" s="1"/>
  <c r="F1601" i="8"/>
  <c r="H1601" i="8" s="1"/>
  <c r="F1602" i="8"/>
  <c r="H1602" i="8" s="1"/>
  <c r="F1603" i="8"/>
  <c r="H1603" i="8" s="1"/>
  <c r="F1604" i="8"/>
  <c r="H1604" i="8" s="1"/>
  <c r="F1605" i="8"/>
  <c r="H1605" i="8" s="1"/>
  <c r="F1606" i="8"/>
  <c r="H1606" i="8" s="1"/>
  <c r="F1607" i="8"/>
  <c r="H1607" i="8" s="1"/>
  <c r="F1608" i="8"/>
  <c r="H1608" i="8" s="1"/>
  <c r="F1586" i="8"/>
  <c r="F1547" i="8"/>
  <c r="F1533" i="8"/>
  <c r="F1499" i="8"/>
  <c r="H1499" i="8" s="1"/>
  <c r="H1498" i="8" s="1"/>
  <c r="F1510" i="8"/>
  <c r="H1510" i="8" s="1"/>
  <c r="F1512" i="8"/>
  <c r="H1512" i="8" s="1"/>
  <c r="F1513" i="8"/>
  <c r="H1513" i="8" s="1"/>
  <c r="F1516" i="8"/>
  <c r="H1516" i="8" s="1"/>
  <c r="F1518" i="8"/>
  <c r="H1518" i="8" s="1"/>
  <c r="F1520" i="8"/>
  <c r="H1520" i="8" s="1"/>
  <c r="F1523" i="8"/>
  <c r="H1523" i="8" s="1"/>
  <c r="F1524" i="8"/>
  <c r="H1524" i="8" s="1"/>
  <c r="F1525" i="8"/>
  <c r="H1525" i="8" s="1"/>
  <c r="F1526" i="8"/>
  <c r="H1526" i="8" s="1"/>
  <c r="F1527" i="8"/>
  <c r="H1527" i="8" s="1"/>
  <c r="F1528" i="8"/>
  <c r="H1528" i="8" s="1"/>
  <c r="F1529" i="8"/>
  <c r="H1529" i="8" s="1"/>
  <c r="F1530" i="8"/>
  <c r="H1530" i="8" s="1"/>
  <c r="F1531" i="8"/>
  <c r="H1531" i="8" s="1"/>
  <c r="F1532" i="8"/>
  <c r="H1532" i="8" s="1"/>
  <c r="F1458" i="8"/>
  <c r="H1458" i="8" s="1"/>
  <c r="F1467" i="8"/>
  <c r="H1467" i="8" s="1"/>
  <c r="F1487" i="8"/>
  <c r="H1487" i="8" s="1"/>
  <c r="F1478" i="8"/>
  <c r="H1478" i="8" s="1"/>
  <c r="F1486" i="8"/>
  <c r="H1486" i="8" s="1"/>
  <c r="F1490" i="8"/>
  <c r="H1490" i="8" s="1"/>
  <c r="F1493" i="8"/>
  <c r="H1493" i="8" s="1"/>
  <c r="F1494" i="8"/>
  <c r="H1494" i="8" s="1"/>
  <c r="F1495" i="8"/>
  <c r="H1495" i="8" s="1"/>
  <c r="F1496" i="8"/>
  <c r="H1496" i="8" s="1"/>
  <c r="F1753" i="8" l="1"/>
  <c r="F1468" i="8"/>
  <c r="H1468" i="8" s="1"/>
  <c r="F1429" i="8"/>
  <c r="H1429" i="8" s="1"/>
  <c r="F1431" i="8"/>
  <c r="H1431" i="8" s="1"/>
  <c r="F1432" i="8"/>
  <c r="H1432" i="8" s="1"/>
  <c r="F1433" i="8"/>
  <c r="H1433" i="8" s="1"/>
  <c r="F1435" i="8"/>
  <c r="H1435" i="8" s="1"/>
  <c r="F1437" i="8"/>
  <c r="H1437" i="8" s="1"/>
  <c r="F1438" i="8"/>
  <c r="H1438" i="8" s="1"/>
  <c r="F1439" i="8"/>
  <c r="H1439" i="8" s="1"/>
  <c r="F1440" i="8"/>
  <c r="H1440" i="8" s="1"/>
  <c r="F1441" i="8"/>
  <c r="H1441" i="8" s="1"/>
  <c r="F1426" i="8"/>
  <c r="F1409" i="8"/>
  <c r="H1409" i="8" s="1"/>
  <c r="F1411" i="8"/>
  <c r="H1411" i="8" s="1"/>
  <c r="F1413" i="8"/>
  <c r="H1413" i="8" s="1"/>
  <c r="F1414" i="8"/>
  <c r="H1414" i="8" s="1"/>
  <c r="F1415" i="8"/>
  <c r="H1415" i="8" s="1"/>
  <c r="F1417" i="8"/>
  <c r="H1417" i="8" s="1"/>
  <c r="F1418" i="8"/>
  <c r="H1418" i="8" s="1"/>
  <c r="F1419" i="8"/>
  <c r="H1419" i="8" s="1"/>
  <c r="F1420" i="8"/>
  <c r="H1420" i="8" s="1"/>
  <c r="F1421" i="8"/>
  <c r="H1421" i="8" s="1"/>
  <c r="F1423" i="8"/>
  <c r="H1423" i="8" s="1"/>
  <c r="F1424" i="8"/>
  <c r="H1424" i="8" s="1"/>
  <c r="F1425" i="8"/>
  <c r="H1425" i="8" s="1"/>
  <c r="F1402" i="8"/>
  <c r="H1402" i="8" s="1"/>
  <c r="F1404" i="8"/>
  <c r="F1393" i="8"/>
  <c r="H1393" i="8" s="1"/>
  <c r="F1396" i="8"/>
  <c r="H1396" i="8" s="1"/>
  <c r="F1397" i="8"/>
  <c r="H1397" i="8" s="1"/>
  <c r="F1398" i="8"/>
  <c r="H1398" i="8" s="1"/>
  <c r="F1400" i="8"/>
  <c r="H1400" i="8" s="1"/>
  <c r="F1375" i="8"/>
  <c r="H1375" i="8" s="1"/>
  <c r="F1377" i="8"/>
  <c r="H1377" i="8" s="1"/>
  <c r="F1378" i="8"/>
  <c r="H1378" i="8" s="1"/>
  <c r="F1380" i="8"/>
  <c r="H1380" i="8" s="1"/>
  <c r="F1381" i="8"/>
  <c r="H1381" i="8" s="1"/>
  <c r="F1382" i="8"/>
  <c r="H1382" i="8" s="1"/>
  <c r="F1383" i="8"/>
  <c r="H1383" i="8" s="1"/>
  <c r="F1384" i="8"/>
  <c r="H1384" i="8" s="1"/>
  <c r="F1385" i="8"/>
  <c r="H1385" i="8" s="1"/>
  <c r="F1386" i="8"/>
  <c r="H1386" i="8" s="1"/>
  <c r="F1387" i="8"/>
  <c r="H1387" i="8" s="1"/>
  <c r="F1388" i="8"/>
  <c r="H1388" i="8" s="1"/>
  <c r="F1389" i="8"/>
  <c r="H1389" i="8" s="1"/>
  <c r="F1390" i="8"/>
  <c r="H1390" i="8" s="1"/>
  <c r="F1361" i="8"/>
  <c r="H1361" i="8" s="1"/>
  <c r="F1364" i="8"/>
  <c r="H1364" i="8" s="1"/>
  <c r="F1365" i="8"/>
  <c r="H1365" i="8" s="1"/>
  <c r="F1366" i="8"/>
  <c r="H1366" i="8" s="1"/>
  <c r="F1367" i="8"/>
  <c r="H1367" i="8" s="1"/>
  <c r="F1369" i="8"/>
  <c r="H1369" i="8" s="1"/>
  <c r="F1370" i="8"/>
  <c r="H1370" i="8" s="1"/>
  <c r="F1371" i="8"/>
  <c r="H1371" i="8" s="1"/>
  <c r="F1372" i="8"/>
  <c r="H1372" i="8" s="1"/>
  <c r="F1351" i="8"/>
  <c r="H1351" i="8" s="1"/>
  <c r="F1353" i="8"/>
  <c r="H1353" i="8" s="1"/>
  <c r="F1354" i="8"/>
  <c r="H1354" i="8" s="1"/>
  <c r="F1355" i="8"/>
  <c r="H1355" i="8" s="1"/>
  <c r="F1356" i="8"/>
  <c r="H1356" i="8" s="1"/>
  <c r="F1357" i="8"/>
  <c r="H1357" i="8" s="1"/>
  <c r="F1336" i="8"/>
  <c r="H1336" i="8" s="1"/>
  <c r="F1338" i="8"/>
  <c r="H1338" i="8" s="1"/>
  <c r="F1339" i="8"/>
  <c r="H1339" i="8" s="1"/>
  <c r="F1340" i="8"/>
  <c r="H1340" i="8" s="1"/>
  <c r="F1341" i="8"/>
  <c r="H1341" i="8" s="1"/>
  <c r="F1342" i="8"/>
  <c r="H1342" i="8" s="1"/>
  <c r="F1343" i="8"/>
  <c r="H1343" i="8" s="1"/>
  <c r="F1344" i="8"/>
  <c r="H1344" i="8" s="1"/>
  <c r="F1345" i="8"/>
  <c r="H1345" i="8" s="1"/>
  <c r="F1346" i="8"/>
  <c r="H1346" i="8" s="1"/>
  <c r="F1347" i="8"/>
  <c r="H1347" i="8" s="1"/>
  <c r="F1322" i="8"/>
  <c r="H1322" i="8" s="1"/>
  <c r="F1323" i="8"/>
  <c r="H1323" i="8" s="1"/>
  <c r="F1325" i="8"/>
  <c r="H1325" i="8" s="1"/>
  <c r="F1326" i="8"/>
  <c r="H1326" i="8" s="1"/>
  <c r="F1327" i="8"/>
  <c r="H1327" i="8" s="1"/>
  <c r="F1328" i="8"/>
  <c r="H1328" i="8" s="1"/>
  <c r="F1329" i="8"/>
  <c r="H1329" i="8" s="1"/>
  <c r="F1330" i="8"/>
  <c r="H1330" i="8" s="1"/>
  <c r="F1331" i="8"/>
  <c r="H1331" i="8" s="1"/>
  <c r="F1332" i="8"/>
  <c r="H1332" i="8" s="1"/>
  <c r="F1333" i="8"/>
  <c r="H1333" i="8" s="1"/>
  <c r="F1318" i="8"/>
  <c r="F1300" i="8"/>
  <c r="H1300" i="8" s="1"/>
  <c r="F1301" i="8"/>
  <c r="H1301" i="8" s="1"/>
  <c r="F1303" i="8"/>
  <c r="H1303" i="8" s="1"/>
  <c r="F1304" i="8"/>
  <c r="H1304" i="8" s="1"/>
  <c r="F1305" i="8"/>
  <c r="H1305" i="8" s="1"/>
  <c r="F1306" i="8"/>
  <c r="H1306" i="8" s="1"/>
  <c r="F1311" i="8"/>
  <c r="H1311" i="8" s="1"/>
  <c r="F1312" i="8"/>
  <c r="H1312" i="8" s="1"/>
  <c r="F1313" i="8"/>
  <c r="H1313" i="8" s="1"/>
  <c r="F1314" i="8"/>
  <c r="H1314" i="8" s="1"/>
  <c r="F1315" i="8"/>
  <c r="H1315" i="8" s="1"/>
  <c r="F1316" i="8"/>
  <c r="H1316" i="8" s="1"/>
  <c r="F1317" i="8"/>
  <c r="H1317" i="8" s="1"/>
  <c r="F1297" i="8"/>
  <c r="F1268" i="8"/>
  <c r="H1268" i="8" s="1"/>
  <c r="F1270" i="8"/>
  <c r="H1270" i="8" s="1"/>
  <c r="F1271" i="8"/>
  <c r="H1271" i="8" s="1"/>
  <c r="F1272" i="8"/>
  <c r="H1272" i="8" s="1"/>
  <c r="F1274" i="8"/>
  <c r="H1274" i="8" s="1"/>
  <c r="F1275" i="8"/>
  <c r="H1275" i="8" s="1"/>
  <c r="F1276" i="8"/>
  <c r="H1276" i="8" s="1"/>
  <c r="F1277" i="8"/>
  <c r="H1277" i="8" s="1"/>
  <c r="F1278" i="8"/>
  <c r="H1278" i="8" s="1"/>
  <c r="F1279" i="8"/>
  <c r="H1279" i="8" s="1"/>
  <c r="F1280" i="8"/>
  <c r="H1280" i="8" s="1"/>
  <c r="F1281" i="8"/>
  <c r="H1281" i="8" s="1"/>
  <c r="F1282" i="8"/>
  <c r="H1282" i="8" s="1"/>
  <c r="F1283" i="8"/>
  <c r="H1283" i="8" s="1"/>
  <c r="F1284" i="8"/>
  <c r="H1284" i="8" s="1"/>
  <c r="F1285" i="8"/>
  <c r="H1285" i="8" s="1"/>
  <c r="F1286" i="8"/>
  <c r="H1286" i="8" s="1"/>
  <c r="F1287" i="8"/>
  <c r="H1287" i="8" s="1"/>
  <c r="F1288" i="8"/>
  <c r="H1288" i="8" s="1"/>
  <c r="F1289" i="8"/>
  <c r="H1289" i="8" s="1"/>
  <c r="F1290" i="8"/>
  <c r="H1290" i="8" s="1"/>
  <c r="F1291" i="8"/>
  <c r="H1291" i="8" s="1"/>
  <c r="F1292" i="8"/>
  <c r="H1292" i="8" s="1"/>
  <c r="F1293" i="8"/>
  <c r="H1293" i="8" s="1"/>
  <c r="F1294" i="8"/>
  <c r="H1294" i="8" s="1"/>
  <c r="F1262" i="8"/>
  <c r="H1262" i="8" s="1"/>
  <c r="F1263" i="8"/>
  <c r="H1263" i="8" s="1"/>
  <c r="F1260" i="8"/>
  <c r="H1260" i="8" s="1"/>
  <c r="F1226" i="8"/>
  <c r="H1226" i="8" s="1"/>
  <c r="F1228" i="8"/>
  <c r="H1228" i="8" s="1"/>
  <c r="F1229" i="8"/>
  <c r="H1229" i="8" s="1"/>
  <c r="F1230" i="8"/>
  <c r="H1230" i="8" s="1"/>
  <c r="F1232" i="8"/>
  <c r="H1232" i="8" s="1"/>
  <c r="F1233" i="8"/>
  <c r="H1233" i="8" s="1"/>
  <c r="F1234" i="8"/>
  <c r="H1234" i="8" s="1"/>
  <c r="F1235" i="8"/>
  <c r="H1235" i="8" s="1"/>
  <c r="F1236" i="8"/>
  <c r="H1236" i="8" s="1"/>
  <c r="F1237" i="8"/>
  <c r="H1237" i="8" s="1"/>
  <c r="F1238" i="8"/>
  <c r="H1238" i="8" s="1"/>
  <c r="F1239" i="8"/>
  <c r="H1239" i="8" s="1"/>
  <c r="F1240" i="8"/>
  <c r="H1240" i="8" s="1"/>
  <c r="F1241" i="8"/>
  <c r="H1241" i="8" s="1"/>
  <c r="F1242" i="8"/>
  <c r="H1242" i="8" s="1"/>
  <c r="F1243" i="8"/>
  <c r="H1243" i="8" s="1"/>
  <c r="F1244" i="8"/>
  <c r="H1244" i="8" s="1"/>
  <c r="F1245" i="8"/>
  <c r="H1245" i="8" s="1"/>
  <c r="F1246" i="8"/>
  <c r="H1246" i="8" s="1"/>
  <c r="F1247" i="8"/>
  <c r="H1247" i="8" s="1"/>
  <c r="F1248" i="8"/>
  <c r="H1248" i="8" s="1"/>
  <c r="F1249" i="8"/>
  <c r="H1249" i="8" s="1"/>
  <c r="F1250" i="8"/>
  <c r="H1250" i="8" s="1"/>
  <c r="F1223" i="8"/>
  <c r="F1220" i="8"/>
  <c r="H1220" i="8" s="1"/>
  <c r="F1221" i="8"/>
  <c r="H1221" i="8" s="1"/>
  <c r="F1218" i="8"/>
  <c r="H1218" i="8" s="1"/>
  <c r="F1192" i="8"/>
  <c r="H1192" i="8" s="1"/>
  <c r="F1194" i="8"/>
  <c r="H1194" i="8" s="1"/>
  <c r="F1195" i="8"/>
  <c r="H1195" i="8" s="1"/>
  <c r="F1196" i="8"/>
  <c r="H1196" i="8" s="1"/>
  <c r="F1198" i="8"/>
  <c r="H1198" i="8" s="1"/>
  <c r="F1199" i="8"/>
  <c r="H1199" i="8" s="1"/>
  <c r="F1200" i="8"/>
  <c r="H1200" i="8" s="1"/>
  <c r="F1201" i="8"/>
  <c r="H1201" i="8" s="1"/>
  <c r="F1202" i="8"/>
  <c r="H1202" i="8" s="1"/>
  <c r="F1203" i="8"/>
  <c r="H1203" i="8" s="1"/>
  <c r="F1204" i="8"/>
  <c r="H1204" i="8" s="1"/>
  <c r="F1205" i="8"/>
  <c r="H1205" i="8" s="1"/>
  <c r="F1206" i="8"/>
  <c r="H1206" i="8" s="1"/>
  <c r="F1207" i="8"/>
  <c r="H1207" i="8" s="1"/>
  <c r="F1208" i="8"/>
  <c r="H1208" i="8" s="1"/>
  <c r="F1209" i="8"/>
  <c r="H1209" i="8" s="1"/>
  <c r="F1210" i="8"/>
  <c r="H1210" i="8" s="1"/>
  <c r="F1212" i="8"/>
  <c r="H1212" i="8" s="1"/>
  <c r="F1213" i="8"/>
  <c r="H1213" i="8" s="1"/>
  <c r="F1214" i="8"/>
  <c r="H1214" i="8" s="1"/>
  <c r="F1215" i="8"/>
  <c r="H1215" i="8" s="1"/>
  <c r="F1216" i="8"/>
  <c r="H1216" i="8" s="1"/>
  <c r="F1189" i="8"/>
  <c r="F1182" i="8"/>
  <c r="H1182" i="8" s="1"/>
  <c r="F1184" i="8"/>
  <c r="H1184" i="8" s="1"/>
  <c r="F1185" i="8"/>
  <c r="H1185" i="8" s="1"/>
  <c r="F1158" i="8"/>
  <c r="H1158" i="8" s="1"/>
  <c r="F1159" i="8"/>
  <c r="H1159" i="8" s="1"/>
  <c r="F1160" i="8"/>
  <c r="H1160" i="8" s="1"/>
  <c r="F1162" i="8"/>
  <c r="H1162" i="8" s="1"/>
  <c r="F1163" i="8"/>
  <c r="H1163" i="8" s="1"/>
  <c r="F1164" i="8"/>
  <c r="H1164" i="8" s="1"/>
  <c r="F1165" i="8"/>
  <c r="H1165" i="8" s="1"/>
  <c r="F1166" i="8"/>
  <c r="H1166" i="8" s="1"/>
  <c r="F1167" i="8"/>
  <c r="H1167" i="8" s="1"/>
  <c r="F1168" i="8"/>
  <c r="H1168" i="8" s="1"/>
  <c r="F1169" i="8"/>
  <c r="H1169" i="8" s="1"/>
  <c r="F1170" i="8"/>
  <c r="H1170" i="8" s="1"/>
  <c r="F1171" i="8"/>
  <c r="H1171" i="8" s="1"/>
  <c r="F1172" i="8"/>
  <c r="H1172" i="8" s="1"/>
  <c r="F1173" i="8"/>
  <c r="H1173" i="8" s="1"/>
  <c r="F1174" i="8"/>
  <c r="H1174" i="8" s="1"/>
  <c r="F1176" i="8"/>
  <c r="H1176" i="8" s="1"/>
  <c r="F1177" i="8"/>
  <c r="H1177" i="8" s="1"/>
  <c r="F1178" i="8"/>
  <c r="H1178" i="8" s="1"/>
  <c r="F1179" i="8"/>
  <c r="H1179" i="8" s="1"/>
  <c r="F1180" i="8"/>
  <c r="H1180" i="8" s="1"/>
  <c r="F1121" i="8"/>
  <c r="H1121" i="8" s="1"/>
  <c r="F1123" i="8"/>
  <c r="H1123" i="8" s="1"/>
  <c r="F1124" i="8"/>
  <c r="H1124" i="8" s="1"/>
  <c r="F1125" i="8"/>
  <c r="H1125" i="8" s="1"/>
  <c r="F1127" i="8"/>
  <c r="H1127" i="8" s="1"/>
  <c r="F1128" i="8"/>
  <c r="H1128" i="8" s="1"/>
  <c r="F1129" i="8"/>
  <c r="H1129" i="8" s="1"/>
  <c r="F1130" i="8"/>
  <c r="H1130" i="8" s="1"/>
  <c r="F1131" i="8"/>
  <c r="H1131" i="8" s="1"/>
  <c r="F1132" i="8"/>
  <c r="H1132" i="8" s="1"/>
  <c r="F1133" i="8"/>
  <c r="H1133" i="8" s="1"/>
  <c r="F1134" i="8"/>
  <c r="H1134" i="8" s="1"/>
  <c r="F1135" i="8"/>
  <c r="H1135" i="8" s="1"/>
  <c r="F1136" i="8"/>
  <c r="H1136" i="8" s="1"/>
  <c r="F1137" i="8"/>
  <c r="H1137" i="8" s="1"/>
  <c r="F1138" i="8"/>
  <c r="H1138" i="8" s="1"/>
  <c r="F1139" i="8"/>
  <c r="H1139" i="8" s="1"/>
  <c r="F1140" i="8"/>
  <c r="H1140" i="8" s="1"/>
  <c r="F1141" i="8"/>
  <c r="H1141" i="8" s="1"/>
  <c r="F1143" i="8"/>
  <c r="H1143" i="8" s="1"/>
  <c r="F1144" i="8"/>
  <c r="H1144" i="8" s="1"/>
  <c r="F1146" i="8"/>
  <c r="H1146" i="8" s="1"/>
  <c r="F1072" i="8"/>
  <c r="H1072" i="8" s="1"/>
  <c r="F1074" i="8"/>
  <c r="H1074" i="8" s="1"/>
  <c r="F1075" i="8"/>
  <c r="H1075" i="8" s="1"/>
  <c r="F1076" i="8"/>
  <c r="H1076" i="8" s="1"/>
  <c r="F1078" i="8"/>
  <c r="H1078" i="8" s="1"/>
  <c r="F1079" i="8"/>
  <c r="H1079" i="8" s="1"/>
  <c r="F1080" i="8"/>
  <c r="H1080" i="8" s="1"/>
  <c r="F1081" i="8"/>
  <c r="H1081" i="8" s="1"/>
  <c r="F1082" i="8"/>
  <c r="H1082" i="8" s="1"/>
  <c r="F1083" i="8"/>
  <c r="H1083" i="8" s="1"/>
  <c r="F1084" i="8"/>
  <c r="H1084" i="8" s="1"/>
  <c r="F1085" i="8"/>
  <c r="H1085" i="8" s="1"/>
  <c r="F1086" i="8"/>
  <c r="H1086" i="8" s="1"/>
  <c r="F1087" i="8"/>
  <c r="H1087" i="8" s="1"/>
  <c r="F1088" i="8"/>
  <c r="H1088" i="8" s="1"/>
  <c r="F1089" i="8"/>
  <c r="H1089" i="8" s="1"/>
  <c r="F1091" i="8"/>
  <c r="H1091" i="8" s="1"/>
  <c r="F1092" i="8"/>
  <c r="H1092" i="8" s="1"/>
  <c r="F1093" i="8"/>
  <c r="H1093" i="8" s="1"/>
  <c r="F1094" i="8"/>
  <c r="H1094" i="8" s="1"/>
  <c r="F1095" i="8"/>
  <c r="H1095" i="8" s="1"/>
  <c r="F1041" i="8"/>
  <c r="H1041" i="8" s="1"/>
  <c r="F1042" i="8"/>
  <c r="H1042" i="8" s="1"/>
  <c r="F1044" i="8"/>
  <c r="H1044" i="8" s="1"/>
  <c r="F1045" i="8"/>
  <c r="H1045" i="8" s="1"/>
  <c r="F1047" i="8"/>
  <c r="H1047" i="8" s="1"/>
  <c r="F1048" i="8"/>
  <c r="H1048" i="8" s="1"/>
  <c r="F1049" i="8"/>
  <c r="H1049" i="8" s="1"/>
  <c r="F1050" i="8"/>
  <c r="H1050" i="8" s="1"/>
  <c r="F1051" i="8"/>
  <c r="H1051" i="8" s="1"/>
  <c r="F1052" i="8"/>
  <c r="H1052" i="8" s="1"/>
  <c r="F1054" i="8"/>
  <c r="H1054" i="8" s="1"/>
  <c r="F1055" i="8"/>
  <c r="H1055" i="8" s="1"/>
  <c r="F1056" i="8"/>
  <c r="H1056" i="8" s="1"/>
  <c r="F1057" i="8"/>
  <c r="H1057" i="8" s="1"/>
  <c r="F1058" i="8"/>
  <c r="H1058" i="8" s="1"/>
  <c r="F1059" i="8"/>
  <c r="H1059" i="8" s="1"/>
  <c r="F1060" i="8"/>
  <c r="H1060" i="8" s="1"/>
  <c r="F1061" i="8"/>
  <c r="H1061" i="8" s="1"/>
  <c r="F1062" i="8"/>
  <c r="H1062" i="8" s="1"/>
  <c r="F1063" i="8"/>
  <c r="H1063" i="8" s="1"/>
  <c r="F1064" i="8"/>
  <c r="H1064" i="8" s="1"/>
  <c r="F1066" i="8"/>
  <c r="H1066" i="8" s="1"/>
  <c r="F1015" i="8"/>
  <c r="H1015" i="8" s="1"/>
  <c r="F1017" i="8"/>
  <c r="H1017" i="8" s="1"/>
  <c r="F1018" i="8"/>
  <c r="H1018" i="8" s="1"/>
  <c r="F1020" i="8"/>
  <c r="H1020" i="8" s="1"/>
  <c r="F1021" i="8"/>
  <c r="H1021" i="8" s="1"/>
  <c r="F1022" i="8"/>
  <c r="H1022" i="8" s="1"/>
  <c r="F1023" i="8"/>
  <c r="H1023" i="8" s="1"/>
  <c r="F1024" i="8"/>
  <c r="H1024" i="8" s="1"/>
  <c r="F1025" i="8"/>
  <c r="H1025" i="8" s="1"/>
  <c r="F1026" i="8"/>
  <c r="H1026" i="8" s="1"/>
  <c r="F1027" i="8"/>
  <c r="H1027" i="8" s="1"/>
  <c r="F1028" i="8"/>
  <c r="H1028" i="8" s="1"/>
  <c r="F1029" i="8"/>
  <c r="H1029" i="8" s="1"/>
  <c r="F1031" i="8"/>
  <c r="H1031" i="8" s="1"/>
  <c r="F1032" i="8"/>
  <c r="H1032" i="8" s="1"/>
  <c r="F1033" i="8"/>
  <c r="H1033" i="8" s="1"/>
  <c r="F1035" i="8"/>
  <c r="H1035" i="8" s="1"/>
  <c r="F1036" i="8"/>
  <c r="H1036" i="8" s="1"/>
  <c r="F1037" i="8"/>
  <c r="H1037" i="8" s="1"/>
  <c r="F1038" i="8"/>
  <c r="H1038" i="8" s="1"/>
  <c r="F1039" i="8"/>
  <c r="H1039" i="8" s="1"/>
  <c r="F989" i="8"/>
  <c r="H989" i="8" s="1"/>
  <c r="F990" i="8"/>
  <c r="H990" i="8" s="1"/>
  <c r="F992" i="8"/>
  <c r="H992" i="8" s="1"/>
  <c r="F993" i="8"/>
  <c r="H993" i="8" s="1"/>
  <c r="F995" i="8"/>
  <c r="H995" i="8" s="1"/>
  <c r="F996" i="8"/>
  <c r="H996" i="8" s="1"/>
  <c r="F997" i="8"/>
  <c r="H997" i="8" s="1"/>
  <c r="F998" i="8"/>
  <c r="H998" i="8" s="1"/>
  <c r="F999" i="8"/>
  <c r="H999" i="8" s="1"/>
  <c r="F1000" i="8"/>
  <c r="H1000" i="8" s="1"/>
  <c r="F1001" i="8"/>
  <c r="H1001" i="8" s="1"/>
  <c r="F1002" i="8"/>
  <c r="H1002" i="8" s="1"/>
  <c r="F1003" i="8"/>
  <c r="H1003" i="8" s="1"/>
  <c r="F1004" i="8"/>
  <c r="H1004" i="8" s="1"/>
  <c r="F1005" i="8"/>
  <c r="H1005" i="8" s="1"/>
  <c r="F1006" i="8"/>
  <c r="H1006" i="8" s="1"/>
  <c r="F1007" i="8"/>
  <c r="H1007" i="8" s="1"/>
  <c r="F1008" i="8"/>
  <c r="H1008" i="8" s="1"/>
  <c r="F1009" i="8"/>
  <c r="H1009" i="8" s="1"/>
  <c r="F1010" i="8"/>
  <c r="H1010" i="8" s="1"/>
  <c r="F1011" i="8"/>
  <c r="H1011" i="8" s="1"/>
  <c r="F1012" i="8"/>
  <c r="H1012" i="8" s="1"/>
  <c r="F1013" i="8"/>
  <c r="H1013" i="8" s="1"/>
  <c r="F962" i="8"/>
  <c r="H962" i="8" s="1"/>
  <c r="F963" i="8"/>
  <c r="H963" i="8" s="1"/>
  <c r="F965" i="8"/>
  <c r="H965" i="8" s="1"/>
  <c r="F966" i="8"/>
  <c r="H966" i="8" s="1"/>
  <c r="F968" i="8"/>
  <c r="H968" i="8" s="1"/>
  <c r="F969" i="8"/>
  <c r="H969" i="8" s="1"/>
  <c r="F970" i="8"/>
  <c r="H970" i="8" s="1"/>
  <c r="F971" i="8"/>
  <c r="H971" i="8" s="1"/>
  <c r="F972" i="8"/>
  <c r="H972" i="8" s="1"/>
  <c r="F973" i="8"/>
  <c r="H973" i="8" s="1"/>
  <c r="F974" i="8"/>
  <c r="H974" i="8" s="1"/>
  <c r="F975" i="8"/>
  <c r="H975" i="8" s="1"/>
  <c r="F976" i="8"/>
  <c r="H976" i="8" s="1"/>
  <c r="F977" i="8"/>
  <c r="H977" i="8" s="1"/>
  <c r="F978" i="8"/>
  <c r="H978" i="8" s="1"/>
  <c r="F979" i="8"/>
  <c r="H979" i="8" s="1"/>
  <c r="F980" i="8"/>
  <c r="H980" i="8" s="1"/>
  <c r="F981" i="8"/>
  <c r="H981" i="8" s="1"/>
  <c r="F982" i="8"/>
  <c r="H982" i="8" s="1"/>
  <c r="F983" i="8"/>
  <c r="H983" i="8" s="1"/>
  <c r="F984" i="8"/>
  <c r="H984" i="8" s="1"/>
  <c r="F985" i="8"/>
  <c r="H985" i="8" s="1"/>
  <c r="F987" i="8"/>
  <c r="H987" i="8" s="1"/>
  <c r="F945" i="8"/>
  <c r="H945" i="8" s="1"/>
  <c r="F947" i="8"/>
  <c r="H947" i="8" s="1"/>
  <c r="F949" i="8"/>
  <c r="H949" i="8" s="1"/>
  <c r="F950" i="8"/>
  <c r="H950" i="8" s="1"/>
  <c r="F952" i="8"/>
  <c r="H952" i="8" s="1"/>
  <c r="F953" i="8"/>
  <c r="H953" i="8" s="1"/>
  <c r="F901" i="8"/>
  <c r="H901" i="8" s="1"/>
  <c r="F903" i="8"/>
  <c r="H903" i="8" s="1"/>
  <c r="F904" i="8"/>
  <c r="H904" i="8" s="1"/>
  <c r="F906" i="8"/>
  <c r="H906" i="8" s="1"/>
  <c r="F907" i="8"/>
  <c r="H907" i="8" s="1"/>
  <c r="F908" i="8"/>
  <c r="H908" i="8" s="1"/>
  <c r="F909" i="8"/>
  <c r="H909" i="8" s="1"/>
  <c r="F910" i="8"/>
  <c r="H910" i="8" s="1"/>
  <c r="F911" i="8"/>
  <c r="H911" i="8" s="1"/>
  <c r="F912" i="8"/>
  <c r="H912" i="8" s="1"/>
  <c r="F913" i="8"/>
  <c r="H913" i="8" s="1"/>
  <c r="F914" i="8"/>
  <c r="H914" i="8" s="1"/>
  <c r="F916" i="8"/>
  <c r="H916" i="8" s="1"/>
  <c r="F917" i="8"/>
  <c r="H917" i="8" s="1"/>
  <c r="F918" i="8"/>
  <c r="H918" i="8" s="1"/>
  <c r="F920" i="8"/>
  <c r="H920" i="8" s="1"/>
  <c r="F922" i="8"/>
  <c r="H922" i="8" s="1"/>
  <c r="F923" i="8"/>
  <c r="H923" i="8" s="1"/>
  <c r="F876" i="8"/>
  <c r="H876" i="8" s="1"/>
  <c r="F878" i="8"/>
  <c r="H878" i="8" s="1"/>
  <c r="F879" i="8"/>
  <c r="H879" i="8" s="1"/>
  <c r="F881" i="8"/>
  <c r="H881" i="8" s="1"/>
  <c r="F882" i="8"/>
  <c r="H882" i="8" s="1"/>
  <c r="F883" i="8"/>
  <c r="H883" i="8" s="1"/>
  <c r="F884" i="8"/>
  <c r="H884" i="8" s="1"/>
  <c r="F885" i="8"/>
  <c r="H885" i="8" s="1"/>
  <c r="F886" i="8"/>
  <c r="H886" i="8" s="1"/>
  <c r="F887" i="8"/>
  <c r="H887" i="8" s="1"/>
  <c r="F888" i="8"/>
  <c r="H888" i="8" s="1"/>
  <c r="F889" i="8"/>
  <c r="H889" i="8" s="1"/>
  <c r="F891" i="8"/>
  <c r="H891" i="8" s="1"/>
  <c r="F892" i="8"/>
  <c r="H892" i="8" s="1"/>
  <c r="F893" i="8"/>
  <c r="H893" i="8" s="1"/>
  <c r="F895" i="8"/>
  <c r="H895" i="8" s="1"/>
  <c r="F896" i="8"/>
  <c r="H896" i="8" s="1"/>
  <c r="F898" i="8"/>
  <c r="H898" i="8" s="1"/>
  <c r="F854" i="8"/>
  <c r="H854" i="8" s="1"/>
  <c r="F856" i="8"/>
  <c r="H856" i="8" s="1"/>
  <c r="F857" i="8"/>
  <c r="H857" i="8" s="1"/>
  <c r="F859" i="8"/>
  <c r="H859" i="8" s="1"/>
  <c r="F860" i="8"/>
  <c r="H860" i="8" s="1"/>
  <c r="F861" i="8"/>
  <c r="H861" i="8" s="1"/>
  <c r="F862" i="8"/>
  <c r="H862" i="8" s="1"/>
  <c r="F863" i="8"/>
  <c r="H863" i="8" s="1"/>
  <c r="F864" i="8"/>
  <c r="H864" i="8" s="1"/>
  <c r="F865" i="8"/>
  <c r="H865" i="8" s="1"/>
  <c r="F866" i="8"/>
  <c r="H866" i="8" s="1"/>
  <c r="F867" i="8"/>
  <c r="H867" i="8" s="1"/>
  <c r="F869" i="8"/>
  <c r="H869" i="8" s="1"/>
  <c r="F870" i="8"/>
  <c r="H870" i="8" s="1"/>
  <c r="F871" i="8"/>
  <c r="H871" i="8" s="1"/>
  <c r="F872" i="8"/>
  <c r="H872" i="8" s="1"/>
  <c r="F873" i="8"/>
  <c r="H873" i="8" s="1"/>
  <c r="F874" i="8"/>
  <c r="H874" i="8" s="1"/>
  <c r="F832" i="8"/>
  <c r="H832" i="8" s="1"/>
  <c r="F834" i="8"/>
  <c r="H834" i="8" s="1"/>
  <c r="F835" i="8"/>
  <c r="H835" i="8" s="1"/>
  <c r="F837" i="8"/>
  <c r="H837" i="8" s="1"/>
  <c r="F838" i="8"/>
  <c r="H838" i="8" s="1"/>
  <c r="F839" i="8"/>
  <c r="H839" i="8" s="1"/>
  <c r="F840" i="8"/>
  <c r="H840" i="8" s="1"/>
  <c r="F841" i="8"/>
  <c r="H841" i="8" s="1"/>
  <c r="F842" i="8"/>
  <c r="H842" i="8" s="1"/>
  <c r="F843" i="8"/>
  <c r="H843" i="8" s="1"/>
  <c r="F844" i="8"/>
  <c r="H844" i="8" s="1"/>
  <c r="F846" i="8"/>
  <c r="H846" i="8" s="1"/>
  <c r="F847" i="8"/>
  <c r="H847" i="8" s="1"/>
  <c r="F848" i="8"/>
  <c r="H848" i="8" s="1"/>
  <c r="F850" i="8"/>
  <c r="H850" i="8" s="1"/>
  <c r="F851" i="8"/>
  <c r="H851" i="8" s="1"/>
  <c r="F852" i="8"/>
  <c r="H852" i="8" s="1"/>
  <c r="F821" i="8"/>
  <c r="H821" i="8" s="1"/>
  <c r="F823" i="8"/>
  <c r="H823" i="8" s="1"/>
  <c r="F825" i="8"/>
  <c r="H825" i="8" s="1"/>
  <c r="F828" i="8"/>
  <c r="H828" i="8" s="1"/>
  <c r="F829" i="8"/>
  <c r="H829" i="8" s="1"/>
  <c r="F830" i="8"/>
  <c r="H830" i="8" s="1"/>
  <c r="F803" i="8"/>
  <c r="H803" i="8" s="1"/>
  <c r="F805" i="8"/>
  <c r="H805" i="8" s="1"/>
  <c r="F806" i="8"/>
  <c r="H806" i="8" s="1"/>
  <c r="F807" i="8"/>
  <c r="H807" i="8" s="1"/>
  <c r="F808" i="8"/>
  <c r="H808" i="8" s="1"/>
  <c r="F812" i="8"/>
  <c r="H812" i="8" s="1"/>
  <c r="F813" i="8"/>
  <c r="H813" i="8" s="1"/>
  <c r="F814" i="8"/>
  <c r="H814" i="8" s="1"/>
  <c r="F815" i="8"/>
  <c r="H815" i="8" s="1"/>
  <c r="F816" i="8"/>
  <c r="H816" i="8" s="1"/>
  <c r="F818" i="8"/>
  <c r="H818" i="8" s="1"/>
  <c r="F819" i="8"/>
  <c r="H819" i="8" s="1"/>
  <c r="F786" i="8"/>
  <c r="H786" i="8" s="1"/>
  <c r="F788" i="8"/>
  <c r="H788" i="8" s="1"/>
  <c r="F790" i="8"/>
  <c r="H790" i="8" s="1"/>
  <c r="F792" i="8"/>
  <c r="H792" i="8" s="1"/>
  <c r="F793" i="8"/>
  <c r="H793" i="8" s="1"/>
  <c r="F794" i="8"/>
  <c r="H794" i="8" s="1"/>
  <c r="F795" i="8"/>
  <c r="H795" i="8" s="1"/>
  <c r="F796" i="8"/>
  <c r="H796" i="8" s="1"/>
  <c r="F797" i="8"/>
  <c r="H797" i="8" s="1"/>
  <c r="F798" i="8"/>
  <c r="H798" i="8" s="1"/>
  <c r="F799" i="8"/>
  <c r="H799" i="8" s="1"/>
  <c r="F800" i="8"/>
  <c r="H800" i="8" s="1"/>
  <c r="F801" i="8"/>
  <c r="H801" i="8" s="1"/>
  <c r="F772" i="8"/>
  <c r="H772" i="8" s="1"/>
  <c r="F774" i="8"/>
  <c r="H774" i="8" s="1"/>
  <c r="F775" i="8"/>
  <c r="H775" i="8" s="1"/>
  <c r="F776" i="8"/>
  <c r="H776" i="8" s="1"/>
  <c r="F777" i="8"/>
  <c r="H777" i="8" s="1"/>
  <c r="F780" i="8"/>
  <c r="H780" i="8" s="1"/>
  <c r="F781" i="8"/>
  <c r="H781" i="8" s="1"/>
  <c r="F782" i="8"/>
  <c r="H782" i="8" s="1"/>
  <c r="F783" i="8"/>
  <c r="H783" i="8" s="1"/>
  <c r="F784" i="8"/>
  <c r="H784" i="8" s="1"/>
  <c r="F751" i="8"/>
  <c r="H751" i="8" s="1"/>
  <c r="F753" i="8"/>
  <c r="H753" i="8" s="1"/>
  <c r="F754" i="8"/>
  <c r="H754" i="8" s="1"/>
  <c r="F755" i="8"/>
  <c r="H755" i="8" s="1"/>
  <c r="F757" i="8"/>
  <c r="H757" i="8" s="1"/>
  <c r="F758" i="8"/>
  <c r="H758" i="8" s="1"/>
  <c r="F759" i="8"/>
  <c r="H759" i="8" s="1"/>
  <c r="F760" i="8"/>
  <c r="H760" i="8" s="1"/>
  <c r="F761" i="8"/>
  <c r="H761" i="8" s="1"/>
  <c r="F762" i="8"/>
  <c r="H762" i="8" s="1"/>
  <c r="F763" i="8"/>
  <c r="H763" i="8" s="1"/>
  <c r="F764" i="8"/>
  <c r="H764" i="8" s="1"/>
  <c r="F765" i="8"/>
  <c r="H765" i="8" s="1"/>
  <c r="F766" i="8"/>
  <c r="H766" i="8" s="1"/>
  <c r="F768" i="8"/>
  <c r="H768" i="8" s="1"/>
  <c r="F769" i="8"/>
  <c r="H769" i="8" s="1"/>
  <c r="F770" i="8"/>
  <c r="H770" i="8" s="1"/>
  <c r="F1553" i="8" l="1"/>
  <c r="H1553" i="8" s="1"/>
  <c r="F731" i="8"/>
  <c r="H731" i="8" s="1"/>
  <c r="F733" i="8"/>
  <c r="H733" i="8" s="1"/>
  <c r="F734" i="8"/>
  <c r="H734" i="8" s="1"/>
  <c r="F735" i="8"/>
  <c r="H735" i="8" s="1"/>
  <c r="F736" i="8"/>
  <c r="H736" i="8" s="1"/>
  <c r="F739" i="8"/>
  <c r="H739" i="8" s="1"/>
  <c r="F740" i="8"/>
  <c r="H740" i="8" s="1"/>
  <c r="F741" i="8"/>
  <c r="H741" i="8" s="1"/>
  <c r="F742" i="8"/>
  <c r="H742" i="8" s="1"/>
  <c r="F743" i="8"/>
  <c r="H743" i="8" s="1"/>
  <c r="F744" i="8"/>
  <c r="H744" i="8" s="1"/>
  <c r="F745" i="8"/>
  <c r="H745" i="8" s="1"/>
  <c r="F708" i="8"/>
  <c r="H708" i="8" s="1"/>
  <c r="F710" i="8"/>
  <c r="H710" i="8" s="1"/>
  <c r="F711" i="8"/>
  <c r="H711" i="8" s="1"/>
  <c r="F712" i="8"/>
  <c r="H712" i="8" s="1"/>
  <c r="F714" i="8"/>
  <c r="H714" i="8" s="1"/>
  <c r="F715" i="8"/>
  <c r="H715" i="8" s="1"/>
  <c r="F716" i="8"/>
  <c r="H716" i="8" s="1"/>
  <c r="F717" i="8"/>
  <c r="H717" i="8" s="1"/>
  <c r="F718" i="8"/>
  <c r="H718" i="8" s="1"/>
  <c r="F719" i="8"/>
  <c r="H719" i="8" s="1"/>
  <c r="F720" i="8"/>
  <c r="H720" i="8" s="1"/>
  <c r="F721" i="8"/>
  <c r="H721" i="8" s="1"/>
  <c r="F722" i="8"/>
  <c r="H722" i="8" s="1"/>
  <c r="F723" i="8"/>
  <c r="H723" i="8" s="1"/>
  <c r="F724" i="8"/>
  <c r="H724" i="8" s="1"/>
  <c r="F725" i="8"/>
  <c r="H725" i="8" s="1"/>
  <c r="F726" i="8"/>
  <c r="H726" i="8" s="1"/>
  <c r="F727" i="8"/>
  <c r="H727" i="8" s="1"/>
  <c r="F728" i="8"/>
  <c r="H728" i="8" s="1"/>
  <c r="F729" i="8"/>
  <c r="H729" i="8" s="1"/>
  <c r="F685" i="8"/>
  <c r="H685" i="8" s="1"/>
  <c r="F687" i="8"/>
  <c r="H687" i="8" s="1"/>
  <c r="F689" i="8"/>
  <c r="H689" i="8" s="1"/>
  <c r="F691" i="8"/>
  <c r="H691" i="8" s="1"/>
  <c r="F692" i="8"/>
  <c r="H692" i="8" s="1"/>
  <c r="F693" i="8"/>
  <c r="H693" i="8" s="1"/>
  <c r="F694" i="8"/>
  <c r="H694" i="8" s="1"/>
  <c r="F696" i="8"/>
  <c r="H696" i="8" s="1"/>
  <c r="F697" i="8"/>
  <c r="H697" i="8" s="1"/>
  <c r="F698" i="8"/>
  <c r="H698" i="8" s="1"/>
  <c r="F699" i="8"/>
  <c r="H699" i="8" s="1"/>
  <c r="F700" i="8"/>
  <c r="H700" i="8" s="1"/>
  <c r="F701" i="8"/>
  <c r="H701" i="8" s="1"/>
  <c r="F702" i="8"/>
  <c r="H702" i="8" s="1"/>
  <c r="F703" i="8"/>
  <c r="H703" i="8" s="1"/>
  <c r="F705" i="8"/>
  <c r="H705" i="8" s="1"/>
  <c r="F706" i="8"/>
  <c r="H706" i="8" s="1"/>
  <c r="F667" i="8"/>
  <c r="H667" i="8" s="1"/>
  <c r="F669" i="8"/>
  <c r="H669" i="8" s="1"/>
  <c r="F673" i="8"/>
  <c r="H673" i="8" s="1"/>
  <c r="F674" i="8"/>
  <c r="H674" i="8" s="1"/>
  <c r="F675" i="8"/>
  <c r="H675" i="8" s="1"/>
  <c r="F676" i="8"/>
  <c r="H676" i="8" s="1"/>
  <c r="F677" i="8"/>
  <c r="H677" i="8" s="1"/>
  <c r="F678" i="8"/>
  <c r="H678" i="8" s="1"/>
  <c r="F679" i="8"/>
  <c r="H679" i="8" s="1"/>
  <c r="F680" i="8"/>
  <c r="H680" i="8" s="1"/>
  <c r="F681" i="8"/>
  <c r="H681" i="8" s="1"/>
  <c r="F682" i="8"/>
  <c r="H682" i="8" s="1"/>
  <c r="F683" i="8"/>
  <c r="H683" i="8" s="1"/>
  <c r="F649" i="8"/>
  <c r="H649" i="8" s="1"/>
  <c r="F650" i="8"/>
  <c r="H650" i="8" s="1"/>
  <c r="F652" i="8"/>
  <c r="H652" i="8" s="1"/>
  <c r="F653" i="8"/>
  <c r="H653" i="8" s="1"/>
  <c r="F654" i="8"/>
  <c r="H654" i="8" s="1"/>
  <c r="F655" i="8"/>
  <c r="H655" i="8" s="1"/>
  <c r="F658" i="8"/>
  <c r="H658" i="8" s="1"/>
  <c r="F659" i="8"/>
  <c r="H659" i="8" s="1"/>
  <c r="F660" i="8"/>
  <c r="H660" i="8" s="1"/>
  <c r="F662" i="8"/>
  <c r="H662" i="8" s="1"/>
  <c r="F663" i="8"/>
  <c r="H663" i="8" s="1"/>
  <c r="F664" i="8"/>
  <c r="H664" i="8" s="1"/>
  <c r="F665" i="8"/>
  <c r="H665" i="8" s="1"/>
  <c r="F633" i="8"/>
  <c r="H633" i="8" s="1"/>
  <c r="F634" i="8"/>
  <c r="H634" i="8" s="1"/>
  <c r="F636" i="8"/>
  <c r="H636" i="8" s="1"/>
  <c r="F638" i="8"/>
  <c r="H638" i="8" s="1"/>
  <c r="F641" i="8"/>
  <c r="H641" i="8" s="1"/>
  <c r="F643" i="8"/>
  <c r="H643" i="8" s="1"/>
  <c r="F644" i="8"/>
  <c r="H644" i="8" s="1"/>
  <c r="F645" i="8"/>
  <c r="H645" i="8" s="1"/>
  <c r="F646" i="8"/>
  <c r="H646" i="8" s="1"/>
  <c r="F647" i="8"/>
  <c r="H647" i="8" s="1"/>
  <c r="F613" i="8"/>
  <c r="H613" i="8" s="1"/>
  <c r="F594" i="8"/>
  <c r="H594" i="8" s="1"/>
  <c r="F596" i="8"/>
  <c r="H596" i="8" s="1"/>
  <c r="F597" i="8"/>
  <c r="H597" i="8" s="1"/>
  <c r="F600" i="8"/>
  <c r="H600" i="8" s="1"/>
  <c r="F601" i="8"/>
  <c r="H601" i="8" s="1"/>
  <c r="F602" i="8"/>
  <c r="H602" i="8" s="1"/>
  <c r="F603" i="8"/>
  <c r="H603" i="8" s="1"/>
  <c r="F604" i="8"/>
  <c r="H604" i="8" s="1"/>
  <c r="F605" i="8"/>
  <c r="H605" i="8" s="1"/>
  <c r="F606" i="8"/>
  <c r="H606" i="8" s="1"/>
  <c r="F607" i="8"/>
  <c r="H607" i="8" s="1"/>
  <c r="F608" i="8"/>
  <c r="H608" i="8" s="1"/>
  <c r="F609" i="8"/>
  <c r="H609" i="8" s="1"/>
  <c r="F610" i="8"/>
  <c r="H610" i="8" s="1"/>
  <c r="F611" i="8"/>
  <c r="H611" i="8" s="1"/>
  <c r="F612" i="8"/>
  <c r="H612" i="8" s="1"/>
  <c r="F571" i="8"/>
  <c r="H571" i="8" s="1"/>
  <c r="F573" i="8"/>
  <c r="H573" i="8" s="1"/>
  <c r="F574" i="8"/>
  <c r="H574" i="8" s="1"/>
  <c r="F575" i="8"/>
  <c r="H575" i="8" s="1"/>
  <c r="F578" i="8"/>
  <c r="H578" i="8" s="1"/>
  <c r="F579" i="8"/>
  <c r="H579" i="8" s="1"/>
  <c r="F580" i="8"/>
  <c r="H580" i="8" s="1"/>
  <c r="F581" i="8"/>
  <c r="H581" i="8" s="1"/>
  <c r="F585" i="8"/>
  <c r="H585" i="8" s="1"/>
  <c r="F586" i="8"/>
  <c r="H586" i="8" s="1"/>
  <c r="F587" i="8"/>
  <c r="H587" i="8" s="1"/>
  <c r="F588" i="8"/>
  <c r="H588" i="8" s="1"/>
  <c r="F589" i="8"/>
  <c r="H589" i="8" s="1"/>
  <c r="F591" i="8"/>
  <c r="H591" i="8" s="1"/>
  <c r="F592" i="8"/>
  <c r="H592" i="8" s="1"/>
  <c r="F555" i="8"/>
  <c r="H555" i="8" s="1"/>
  <c r="F557" i="8"/>
  <c r="H557" i="8" s="1"/>
  <c r="F558" i="8"/>
  <c r="H558" i="8" s="1"/>
  <c r="F560" i="8"/>
  <c r="H560" i="8" s="1"/>
  <c r="F561" i="8"/>
  <c r="H561" i="8" s="1"/>
  <c r="F563" i="8"/>
  <c r="H563" i="8" s="1"/>
  <c r="F564" i="8"/>
  <c r="H564" i="8" s="1"/>
  <c r="F565" i="8"/>
  <c r="H565" i="8" s="1"/>
  <c r="F566" i="8"/>
  <c r="H566" i="8" s="1"/>
  <c r="F567" i="8"/>
  <c r="H567" i="8" s="1"/>
  <c r="F568" i="8"/>
  <c r="H568" i="8" s="1"/>
  <c r="F569" i="8"/>
  <c r="H569" i="8" s="1"/>
  <c r="F540" i="8"/>
  <c r="H540" i="8" s="1"/>
  <c r="F542" i="8"/>
  <c r="H542" i="8" s="1"/>
  <c r="F543" i="8"/>
  <c r="H543" i="8" s="1"/>
  <c r="F544" i="8"/>
  <c r="H544" i="8" s="1"/>
  <c r="F545" i="8"/>
  <c r="H545" i="8" s="1"/>
  <c r="F548" i="8"/>
  <c r="H548" i="8" s="1"/>
  <c r="F549" i="8"/>
  <c r="H549" i="8" s="1"/>
  <c r="F550" i="8"/>
  <c r="H550" i="8" s="1"/>
  <c r="F552" i="8"/>
  <c r="H552" i="8" s="1"/>
  <c r="F553" i="8"/>
  <c r="H553" i="8" s="1"/>
  <c r="F515" i="8"/>
  <c r="H515" i="8" s="1"/>
  <c r="F521" i="8"/>
  <c r="H521" i="8" s="1"/>
  <c r="F522" i="8"/>
  <c r="H522" i="8" s="1"/>
  <c r="F523" i="8"/>
  <c r="H523" i="8" s="1"/>
  <c r="F524" i="8"/>
  <c r="H524" i="8" s="1"/>
  <c r="F525" i="8"/>
  <c r="H525" i="8" s="1"/>
  <c r="F526" i="8"/>
  <c r="H526" i="8" s="1"/>
  <c r="F527" i="8"/>
  <c r="H527" i="8" s="1"/>
  <c r="F528" i="8"/>
  <c r="H528" i="8" s="1"/>
  <c r="F497" i="8"/>
  <c r="H497" i="8" s="1"/>
  <c r="F498" i="8"/>
  <c r="H498" i="8" s="1"/>
  <c r="F499" i="8"/>
  <c r="H499" i="8" s="1"/>
  <c r="F500" i="8"/>
  <c r="H500" i="8" s="1"/>
  <c r="F501" i="8"/>
  <c r="H501" i="8" s="1"/>
  <c r="F502" i="8"/>
  <c r="H502" i="8" s="1"/>
  <c r="F503" i="8"/>
  <c r="H503" i="8" s="1"/>
  <c r="F504" i="8"/>
  <c r="H504" i="8" s="1"/>
  <c r="F479" i="8"/>
  <c r="H479" i="8" s="1"/>
  <c r="F481" i="8"/>
  <c r="H481" i="8" s="1"/>
  <c r="F484" i="8"/>
  <c r="H484" i="8" s="1"/>
  <c r="F485" i="8"/>
  <c r="H485" i="8" s="1"/>
  <c r="F486" i="8"/>
  <c r="H486" i="8" s="1"/>
  <c r="F472" i="8"/>
  <c r="F447" i="8"/>
  <c r="H447" i="8" s="1"/>
  <c r="F449" i="8"/>
  <c r="H449" i="8" s="1"/>
  <c r="F453" i="8"/>
  <c r="H453" i="8" s="1"/>
  <c r="F454" i="8"/>
  <c r="H454" i="8" s="1"/>
  <c r="F455" i="8"/>
  <c r="H455" i="8" s="1"/>
  <c r="F456" i="8"/>
  <c r="H456" i="8" s="1"/>
  <c r="F457" i="8"/>
  <c r="H457" i="8" s="1"/>
  <c r="F458" i="8"/>
  <c r="H458" i="8" s="1"/>
  <c r="F459" i="8"/>
  <c r="H459" i="8" s="1"/>
  <c r="F464" i="8"/>
  <c r="H464" i="8" s="1"/>
  <c r="F465" i="8"/>
  <c r="H465" i="8" s="1"/>
  <c r="F467" i="8"/>
  <c r="H467" i="8" s="1"/>
  <c r="F468" i="8"/>
  <c r="H468" i="8" s="1"/>
  <c r="F444" i="8"/>
  <c r="F429" i="8"/>
  <c r="H429" i="8" s="1"/>
  <c r="F431" i="8"/>
  <c r="H431" i="8" s="1"/>
  <c r="F432" i="8"/>
  <c r="H432" i="8" s="1"/>
  <c r="F433" i="8"/>
  <c r="H433" i="8" s="1"/>
  <c r="F436" i="8"/>
  <c r="H436" i="8" s="1"/>
  <c r="F437" i="8"/>
  <c r="H437" i="8" s="1"/>
  <c r="F438" i="8"/>
  <c r="H438" i="8" s="1"/>
  <c r="F440" i="8"/>
  <c r="H440" i="8" s="1"/>
  <c r="F441" i="8"/>
  <c r="H441" i="8" s="1"/>
  <c r="F443" i="8"/>
  <c r="H443" i="8" s="1"/>
  <c r="F398" i="8" l="1"/>
  <c r="H398" i="8" s="1"/>
  <c r="F400" i="8"/>
  <c r="H400" i="8" s="1"/>
  <c r="F401" i="8"/>
  <c r="H401" i="8" s="1"/>
  <c r="F402" i="8"/>
  <c r="H402" i="8" s="1"/>
  <c r="F404" i="8"/>
  <c r="H404" i="8" s="1"/>
  <c r="F405" i="8"/>
  <c r="H405" i="8" s="1"/>
  <c r="F406" i="8"/>
  <c r="H406" i="8" s="1"/>
  <c r="F407" i="8"/>
  <c r="H407" i="8" s="1"/>
  <c r="F408" i="8"/>
  <c r="H408" i="8" s="1"/>
  <c r="F409" i="8"/>
  <c r="H409" i="8" s="1"/>
  <c r="F410" i="8"/>
  <c r="H410" i="8" s="1"/>
  <c r="F411" i="8"/>
  <c r="H411" i="8" s="1"/>
  <c r="F412" i="8"/>
  <c r="H412" i="8" s="1"/>
  <c r="F413" i="8"/>
  <c r="H413" i="8" s="1"/>
  <c r="F415" i="8"/>
  <c r="H415" i="8" s="1"/>
  <c r="F416" i="8"/>
  <c r="H416" i="8" s="1"/>
  <c r="F417" i="8"/>
  <c r="H417" i="8" s="1"/>
  <c r="F418" i="8"/>
  <c r="H418" i="8" s="1"/>
  <c r="F420" i="8"/>
  <c r="H420" i="8" s="1"/>
  <c r="F421" i="8"/>
  <c r="H421" i="8" s="1"/>
  <c r="F387" i="8"/>
  <c r="H387" i="8" s="1"/>
  <c r="F388" i="8"/>
  <c r="H388" i="8" s="1"/>
  <c r="F389" i="8"/>
  <c r="H389" i="8" s="1"/>
  <c r="F390" i="8"/>
  <c r="H390" i="8" s="1"/>
  <c r="F391" i="8"/>
  <c r="H391" i="8" s="1"/>
  <c r="F392" i="8"/>
  <c r="H392" i="8" s="1"/>
  <c r="F393" i="8"/>
  <c r="H393" i="8" s="1"/>
  <c r="F395" i="8"/>
  <c r="H395" i="8" s="1"/>
  <c r="F368" i="8"/>
  <c r="H368" i="8" s="1"/>
  <c r="F370" i="8"/>
  <c r="H370" i="8" s="1"/>
  <c r="F371" i="8"/>
  <c r="H371" i="8" s="1"/>
  <c r="F372" i="8"/>
  <c r="H372" i="8" s="1"/>
  <c r="F373" i="8"/>
  <c r="H373" i="8" s="1"/>
  <c r="F374" i="8"/>
  <c r="H374" i="8" s="1"/>
  <c r="F375" i="8"/>
  <c r="H375" i="8" s="1"/>
  <c r="F376" i="8"/>
  <c r="H376" i="8" s="1"/>
  <c r="F377" i="8"/>
  <c r="H377" i="8" s="1"/>
  <c r="F379" i="8"/>
  <c r="H379" i="8" s="1"/>
  <c r="F380" i="8"/>
  <c r="H380" i="8" s="1"/>
  <c r="F381" i="8"/>
  <c r="H381" i="8" s="1"/>
  <c r="F383" i="8"/>
  <c r="H383" i="8" s="1"/>
  <c r="F385" i="8"/>
  <c r="H385" i="8" s="1"/>
  <c r="F312" i="8"/>
  <c r="H312" i="8" s="1"/>
  <c r="H311" i="8" s="1"/>
  <c r="F314" i="8"/>
  <c r="F315" i="8"/>
  <c r="F316" i="8"/>
  <c r="F317" i="8"/>
  <c r="F318" i="8"/>
  <c r="F319" i="8"/>
  <c r="F320" i="8"/>
  <c r="F321" i="8"/>
  <c r="F322" i="8"/>
  <c r="F323" i="8"/>
  <c r="F324" i="8"/>
  <c r="F325" i="8"/>
  <c r="F326" i="8"/>
  <c r="F327" i="8"/>
  <c r="F329" i="8"/>
  <c r="F294" i="8"/>
  <c r="F279" i="8"/>
  <c r="H279" i="8" s="1"/>
  <c r="F282" i="8"/>
  <c r="H282" i="8" s="1"/>
  <c r="F283" i="8"/>
  <c r="H283" i="8" s="1"/>
  <c r="F284" i="8"/>
  <c r="H284" i="8" s="1"/>
  <c r="F285" i="8"/>
  <c r="H285" i="8" s="1"/>
  <c r="F287" i="8"/>
  <c r="H287" i="8" s="1"/>
  <c r="F269" i="8"/>
  <c r="H269" i="8" s="1"/>
  <c r="F271" i="8"/>
  <c r="H271" i="8" s="1"/>
  <c r="F272" i="8"/>
  <c r="H272" i="8" s="1"/>
  <c r="F273" i="8"/>
  <c r="H273" i="8" s="1"/>
  <c r="F274" i="8"/>
  <c r="H274" i="8" s="1"/>
  <c r="F275" i="8"/>
  <c r="H275" i="8" s="1"/>
  <c r="F276" i="8"/>
  <c r="H276" i="8" s="1"/>
  <c r="F277" i="8"/>
  <c r="H277" i="8" s="1"/>
  <c r="F238" i="8"/>
  <c r="H238" i="8" s="1"/>
  <c r="F240" i="8"/>
  <c r="H240" i="8" s="1"/>
  <c r="F242" i="8"/>
  <c r="H242" i="8" s="1"/>
  <c r="F243" i="8"/>
  <c r="H243" i="8" s="1"/>
  <c r="F246" i="8"/>
  <c r="H246" i="8" s="1"/>
  <c r="F247" i="8"/>
  <c r="H247" i="8" s="1"/>
  <c r="F248" i="8"/>
  <c r="H248" i="8" s="1"/>
  <c r="F249" i="8"/>
  <c r="H249" i="8" s="1"/>
  <c r="F250" i="8"/>
  <c r="H250" i="8" s="1"/>
  <c r="F251" i="8"/>
  <c r="H251" i="8" s="1"/>
  <c r="F253" i="8"/>
  <c r="H253" i="8" s="1"/>
  <c r="F254" i="8"/>
  <c r="H254" i="8" s="1"/>
  <c r="F255" i="8"/>
  <c r="H255" i="8" s="1"/>
  <c r="F256" i="8"/>
  <c r="H256" i="8" s="1"/>
  <c r="F257" i="8"/>
  <c r="H257" i="8" s="1"/>
  <c r="F258" i="8"/>
  <c r="H258" i="8" s="1"/>
  <c r="F261" i="8"/>
  <c r="H261" i="8" s="1"/>
  <c r="F223" i="8"/>
  <c r="H223" i="8" s="1"/>
  <c r="F222" i="8"/>
  <c r="H222" i="8" s="1"/>
  <c r="F213" i="8"/>
  <c r="H213" i="8" s="1"/>
  <c r="F215" i="8"/>
  <c r="H215" i="8" s="1"/>
  <c r="F216" i="8"/>
  <c r="H216" i="8" s="1"/>
  <c r="F217" i="8"/>
  <c r="H217" i="8" s="1"/>
  <c r="F218" i="8"/>
  <c r="H218" i="8" s="1"/>
  <c r="F220" i="8"/>
  <c r="H220" i="8" s="1"/>
  <c r="F134" i="8"/>
  <c r="H134" i="8" s="1"/>
  <c r="F136" i="8"/>
  <c r="H136" i="8" s="1"/>
  <c r="F137" i="8"/>
  <c r="H137" i="8" s="1"/>
  <c r="F138" i="8"/>
  <c r="H138" i="8" s="1"/>
  <c r="F139" i="8"/>
  <c r="H139" i="8" s="1"/>
  <c r="F140" i="8"/>
  <c r="H140" i="8" s="1"/>
  <c r="F141" i="8"/>
  <c r="H141" i="8" s="1"/>
  <c r="F142" i="8"/>
  <c r="H142" i="8" s="1"/>
  <c r="F143" i="8"/>
  <c r="H143" i="8" s="1"/>
  <c r="F144" i="8"/>
  <c r="H144" i="8" s="1"/>
  <c r="F145" i="8"/>
  <c r="H145" i="8" s="1"/>
  <c r="F146" i="8"/>
  <c r="H146" i="8" s="1"/>
  <c r="F147" i="8"/>
  <c r="H147" i="8" s="1"/>
  <c r="F148" i="8"/>
  <c r="H148" i="8" s="1"/>
  <c r="F149" i="8"/>
  <c r="H149" i="8" s="1"/>
  <c r="F151" i="8"/>
  <c r="H151" i="8" s="1"/>
  <c r="F152" i="8"/>
  <c r="H152" i="8" s="1"/>
  <c r="F153" i="8"/>
  <c r="H153" i="8" s="1"/>
  <c r="F154" i="8"/>
  <c r="H154" i="8" s="1"/>
  <c r="F156" i="8"/>
  <c r="H156" i="8" s="1"/>
  <c r="F157" i="8"/>
  <c r="H157" i="8" s="1"/>
  <c r="F158" i="8"/>
  <c r="H158" i="8" s="1"/>
  <c r="F159" i="8"/>
  <c r="H159" i="8" s="1"/>
  <c r="H221" i="8" l="1"/>
  <c r="H386" i="8"/>
  <c r="F175" i="8"/>
  <c r="F181" i="8"/>
  <c r="F160" i="8"/>
  <c r="F161" i="8"/>
  <c r="H161" i="8" s="1"/>
  <c r="H160" i="8" s="1"/>
  <c r="F127" i="8"/>
  <c r="H127" i="8" s="1"/>
  <c r="F128" i="8"/>
  <c r="H128" i="8" s="1"/>
  <c r="F129" i="8"/>
  <c r="H129" i="8" s="1"/>
  <c r="F130" i="8"/>
  <c r="H130" i="8" s="1"/>
  <c r="F131" i="8"/>
  <c r="H131" i="8" s="1"/>
  <c r="F42" i="8"/>
  <c r="H42" i="8" s="1"/>
  <c r="F1150" i="8" l="1"/>
  <c r="H1150" i="8" s="1"/>
  <c r="F1151" i="8"/>
  <c r="H1151" i="8" s="1"/>
  <c r="F1148" i="8"/>
  <c r="H1148" i="8" s="1"/>
  <c r="F1657" i="8" l="1"/>
  <c r="H1657" i="8" s="1"/>
  <c r="F1658" i="8"/>
  <c r="H1658" i="8" s="1"/>
  <c r="F1659" i="8"/>
  <c r="H1659" i="8" s="1"/>
  <c r="F1660" i="8"/>
  <c r="H1660" i="8" s="1"/>
  <c r="F1656" i="8"/>
  <c r="F1626" i="8"/>
  <c r="F1627" i="8"/>
  <c r="H1627" i="8" s="1"/>
  <c r="F1628" i="8"/>
  <c r="H1628" i="8" s="1"/>
  <c r="F1629" i="8"/>
  <c r="H1629" i="8" s="1"/>
  <c r="F1630" i="8"/>
  <c r="H1630" i="8" s="1"/>
  <c r="F1631" i="8"/>
  <c r="H1631" i="8" s="1"/>
  <c r="F1632" i="8"/>
  <c r="H1632" i="8" s="1"/>
  <c r="F1633" i="8"/>
  <c r="H1633" i="8" s="1"/>
  <c r="F1634" i="8"/>
  <c r="H1634" i="8" s="1"/>
  <c r="F1635" i="8"/>
  <c r="H1635" i="8" s="1"/>
  <c r="F1637" i="8"/>
  <c r="H1637" i="8" s="1"/>
  <c r="F1638" i="8"/>
  <c r="H1638" i="8" s="1"/>
  <c r="F1639" i="8"/>
  <c r="H1639" i="8" s="1"/>
  <c r="F615" i="8"/>
  <c r="H615" i="8" s="1"/>
  <c r="F491" i="8"/>
  <c r="H491" i="8" s="1"/>
  <c r="F366" i="8"/>
  <c r="H366" i="8" s="1"/>
  <c r="F204" i="8"/>
  <c r="H204" i="8" s="1"/>
  <c r="F205" i="8"/>
  <c r="H205" i="8" s="1"/>
  <c r="F206" i="8"/>
  <c r="H206" i="8" s="1"/>
  <c r="F193" i="8"/>
  <c r="H193" i="8" s="1"/>
  <c r="F195" i="8"/>
  <c r="H195" i="8" s="1"/>
  <c r="F196" i="8"/>
  <c r="H196" i="8" s="1"/>
  <c r="F197" i="8"/>
  <c r="H197" i="8" s="1"/>
  <c r="F198" i="8"/>
  <c r="H198" i="8" s="1"/>
  <c r="F199" i="8"/>
  <c r="H199" i="8" s="1"/>
  <c r="F200" i="8"/>
  <c r="H200" i="8" s="1"/>
  <c r="F163" i="8"/>
  <c r="F164" i="8"/>
  <c r="F94" i="8"/>
  <c r="H94" i="8" s="1"/>
  <c r="F95" i="8"/>
  <c r="H95" i="8" s="1"/>
  <c r="F93" i="8"/>
  <c r="H93" i="8" s="1"/>
  <c r="H92" i="8" l="1"/>
  <c r="H1656" i="8"/>
  <c r="H1655" i="8" s="1"/>
  <c r="F1655" i="8"/>
  <c r="H1626" i="8"/>
  <c r="H1624" i="8" s="1"/>
  <c r="F1624" i="8"/>
  <c r="F942" i="8"/>
  <c r="F943" i="8"/>
  <c r="F344" i="8"/>
  <c r="F350" i="8"/>
  <c r="F342" i="8"/>
  <c r="F343" i="8"/>
  <c r="F97" i="8"/>
  <c r="H97" i="8" s="1"/>
  <c r="F98" i="8"/>
  <c r="H98" i="8" s="1"/>
  <c r="F99" i="8"/>
  <c r="H99" i="8" s="1"/>
  <c r="F100" i="8"/>
  <c r="H100" i="8" s="1"/>
  <c r="F101" i="8"/>
  <c r="H101" i="8" s="1"/>
  <c r="F102" i="8"/>
  <c r="H102" i="8" s="1"/>
  <c r="F103" i="8"/>
  <c r="H103" i="8" s="1"/>
  <c r="F77" i="8"/>
  <c r="F78" i="8"/>
  <c r="H78" i="8" s="1"/>
  <c r="F79" i="8"/>
  <c r="H79" i="8" s="1"/>
  <c r="F80" i="8"/>
  <c r="H80" i="8" s="1"/>
  <c r="F82" i="8"/>
  <c r="H82" i="8" s="1"/>
  <c r="F83" i="8"/>
  <c r="H83" i="8" s="1"/>
  <c r="F84" i="8"/>
  <c r="H84" i="8" s="1"/>
  <c r="F85" i="8"/>
  <c r="H85" i="8" s="1"/>
  <c r="F86" i="8"/>
  <c r="H86" i="8" s="1"/>
  <c r="F87" i="8"/>
  <c r="H87" i="8" s="1"/>
  <c r="F88" i="8"/>
  <c r="H88" i="8" s="1"/>
  <c r="F90" i="8"/>
  <c r="H90" i="8" s="1"/>
  <c r="F91" i="8"/>
  <c r="H91" i="8" s="1"/>
  <c r="F69" i="8"/>
  <c r="H69" i="8" s="1"/>
  <c r="F70" i="8"/>
  <c r="H70" i="8" s="1"/>
  <c r="F71" i="8"/>
  <c r="H71" i="8" s="1"/>
  <c r="F72" i="8"/>
  <c r="H72" i="8" s="1"/>
  <c r="F73" i="8"/>
  <c r="H73" i="8" s="1"/>
  <c r="F74" i="8"/>
  <c r="H74" i="8" s="1"/>
  <c r="F68" i="8"/>
  <c r="H68" i="8" s="1"/>
  <c r="F58" i="8"/>
  <c r="H58" i="8" s="1"/>
  <c r="F59" i="8"/>
  <c r="H59" i="8" s="1"/>
  <c r="F62" i="8"/>
  <c r="H62" i="8" s="1"/>
  <c r="F63" i="8"/>
  <c r="H63" i="8" s="1"/>
  <c r="F60" i="8"/>
  <c r="H60" i="8" s="1"/>
  <c r="F61" i="8"/>
  <c r="H61" i="8" s="1"/>
  <c r="F64" i="8"/>
  <c r="H64" i="8" s="1"/>
  <c r="F65" i="8"/>
  <c r="H65" i="8" s="1"/>
  <c r="F66" i="8"/>
  <c r="H66" i="8" s="1"/>
  <c r="F57" i="8"/>
  <c r="F49" i="8"/>
  <c r="H49" i="8" s="1"/>
  <c r="F50" i="8"/>
  <c r="H50" i="8" s="1"/>
  <c r="F51" i="8"/>
  <c r="H51" i="8" s="1"/>
  <c r="F52" i="8"/>
  <c r="H52" i="8" s="1"/>
  <c r="F53" i="8"/>
  <c r="H53" i="8" s="1"/>
  <c r="F48" i="8"/>
  <c r="H48" i="8" s="1"/>
  <c r="F41" i="8"/>
  <c r="H41" i="8" s="1"/>
  <c r="F43" i="8"/>
  <c r="H43" i="8" s="1"/>
  <c r="F44" i="8"/>
  <c r="H44" i="8" s="1"/>
  <c r="F46" i="8"/>
  <c r="H46" i="8" s="1"/>
  <c r="F39" i="8"/>
  <c r="H39" i="8" s="1"/>
  <c r="F17" i="8"/>
  <c r="H17" i="8" s="1"/>
  <c r="F18" i="8"/>
  <c r="H18" i="8" s="1"/>
  <c r="F19" i="8"/>
  <c r="H19" i="8" s="1"/>
  <c r="F20" i="8"/>
  <c r="H20" i="8" s="1"/>
  <c r="F21" i="8"/>
  <c r="H21" i="8" s="1"/>
  <c r="F22" i="8"/>
  <c r="H22" i="8" s="1"/>
  <c r="F24" i="8"/>
  <c r="H24" i="8" s="1"/>
  <c r="F25" i="8"/>
  <c r="H25" i="8" s="1"/>
  <c r="F26" i="8"/>
  <c r="H26" i="8" s="1"/>
  <c r="F27" i="8"/>
  <c r="H27" i="8" s="1"/>
  <c r="F28" i="8"/>
  <c r="H28" i="8" s="1"/>
  <c r="F29" i="8"/>
  <c r="H29" i="8" s="1"/>
  <c r="F33" i="8"/>
  <c r="H33" i="8" s="1"/>
  <c r="F34" i="8"/>
  <c r="H34" i="8" s="1"/>
  <c r="F16" i="8"/>
  <c r="H16" i="8" s="1"/>
  <c r="F9" i="8"/>
  <c r="H9" i="8" s="1"/>
  <c r="F6" i="8"/>
  <c r="F7" i="8"/>
  <c r="H7" i="8" s="1"/>
  <c r="H57" i="8" l="1"/>
  <c r="H56" i="8" s="1"/>
  <c r="F56" i="8"/>
  <c r="H77" i="8"/>
  <c r="H76" i="8" s="1"/>
  <c r="H75" i="8" s="1"/>
  <c r="F76" i="8"/>
  <c r="H1747" i="8"/>
  <c r="J6" i="8"/>
  <c r="L6" i="8" s="1"/>
  <c r="H6" i="8"/>
  <c r="F126" i="8"/>
  <c r="H126" i="8" s="1"/>
  <c r="L5" i="8" l="1"/>
  <c r="L104" i="8" s="1"/>
  <c r="N6" i="8"/>
  <c r="S6" i="8" s="1"/>
  <c r="J5" i="8"/>
  <c r="J104" i="8" s="1"/>
  <c r="F927" i="8"/>
  <c r="F747" i="8"/>
  <c r="H747" i="8" s="1"/>
  <c r="F748" i="8"/>
  <c r="H748" i="8" s="1"/>
  <c r="F1156" i="8"/>
  <c r="H1156" i="8" s="1"/>
  <c r="Q6" i="8" l="1"/>
  <c r="N5" i="8"/>
  <c r="Q5" i="8" s="1"/>
  <c r="H746" i="8"/>
  <c r="J1619" i="8"/>
  <c r="J1748" i="8" s="1"/>
  <c r="J1756" i="8" s="1"/>
  <c r="F632" i="8"/>
  <c r="H632" i="8" s="1"/>
  <c r="F635" i="8"/>
  <c r="H635" i="8" s="1"/>
  <c r="F96" i="8"/>
  <c r="H96" i="8" s="1"/>
  <c r="S5" i="8" l="1"/>
  <c r="N104" i="8"/>
  <c r="L1619" i="8"/>
  <c r="F194" i="8"/>
  <c r="H194" i="8" s="1"/>
  <c r="H192" i="8" s="1"/>
  <c r="F822" i="8"/>
  <c r="H822" i="8" s="1"/>
  <c r="H820" i="8" s="1"/>
  <c r="Q104" i="8" l="1"/>
  <c r="R104" i="8"/>
  <c r="L1748" i="8"/>
  <c r="F1337" i="8"/>
  <c r="H1337" i="8" s="1"/>
  <c r="H1334" i="8" s="1"/>
  <c r="F1596" i="8"/>
  <c r="H1596" i="8" s="1"/>
  <c r="L1756" i="8" l="1"/>
  <c r="F1593" i="8"/>
  <c r="F1594" i="8"/>
  <c r="H1594" i="8" s="1"/>
  <c r="H1593" i="8" s="1"/>
  <c r="F278" i="8" l="1"/>
  <c r="F280" i="8"/>
  <c r="H280" i="8" s="1"/>
  <c r="H278" i="8" s="1"/>
  <c r="F239" i="8" l="1"/>
  <c r="H239" i="8" s="1"/>
  <c r="H237" i="8" s="1"/>
  <c r="F244" i="8"/>
  <c r="H244" i="8" s="1"/>
  <c r="F1394" i="8"/>
  <c r="H1394" i="8" s="1"/>
  <c r="H1392" i="8" s="1"/>
  <c r="F1514" i="8" l="1"/>
  <c r="H1514" i="8" s="1"/>
  <c r="F1376" i="8"/>
  <c r="H1376" i="8" s="1"/>
  <c r="H1374" i="8" s="1"/>
  <c r="F1379" i="8"/>
  <c r="H1379" i="8" s="1"/>
  <c r="F1046" i="8"/>
  <c r="H1046" i="8" s="1"/>
  <c r="F1508" i="8" l="1"/>
  <c r="F1511" i="8"/>
  <c r="H1511" i="8" s="1"/>
  <c r="H1508" i="8" s="1"/>
  <c r="F905" i="8"/>
  <c r="H905" i="8" s="1"/>
  <c r="F428" i="8" l="1"/>
  <c r="F430" i="8"/>
  <c r="H430" i="8" s="1"/>
  <c r="H428" i="8" s="1"/>
  <c r="F520" i="8"/>
  <c r="H520" i="8" s="1"/>
  <c r="F514" i="8" l="1"/>
  <c r="F516" i="8"/>
  <c r="H516" i="8" s="1"/>
  <c r="H514" i="8" s="1"/>
  <c r="F478" i="8"/>
  <c r="F480" i="8"/>
  <c r="H480" i="8" s="1"/>
  <c r="H478" i="8" s="1"/>
  <c r="F496" i="8"/>
  <c r="H496" i="8" s="1"/>
  <c r="F47" i="8"/>
  <c r="H47" i="8" s="1"/>
  <c r="F1428" i="8" l="1"/>
  <c r="F1430" i="8"/>
  <c r="H1430" i="8" s="1"/>
  <c r="H1428" i="8" s="1"/>
  <c r="F490" i="8" l="1"/>
  <c r="F492" i="8"/>
  <c r="H492" i="8" s="1"/>
  <c r="H490" i="8" s="1"/>
  <c r="F1324" i="8"/>
  <c r="H1324" i="8" s="1"/>
  <c r="H1321" i="8" s="1"/>
  <c r="F1667" i="8" l="1"/>
  <c r="F471" i="8" l="1"/>
  <c r="F5" i="8" l="1"/>
  <c r="H5" i="8" s="1"/>
  <c r="F1669" i="8"/>
  <c r="F1231" i="8"/>
  <c r="H1231" i="8" s="1"/>
  <c r="F1747" i="8"/>
  <c r="F1538" i="8"/>
  <c r="H1538" i="8" s="1"/>
  <c r="F1498" i="8"/>
  <c r="F1374" i="8"/>
  <c r="F1321" i="8"/>
  <c r="F1401" i="8" l="1"/>
  <c r="F1403" i="8"/>
  <c r="H1403" i="8" s="1"/>
  <c r="H1401" i="8" s="1"/>
  <c r="F1225" i="8"/>
  <c r="F1227" i="8"/>
  <c r="H1227" i="8" s="1"/>
  <c r="H1225" i="8" s="1"/>
  <c r="F1302" i="8"/>
  <c r="H1302" i="8" s="1"/>
  <c r="H1299" i="8" s="1"/>
  <c r="F1295" i="8"/>
  <c r="F1265" i="8"/>
  <c r="F1257" i="8"/>
  <c r="F1477" i="8" l="1"/>
  <c r="H1477" i="8" s="1"/>
  <c r="H1456" i="8" s="1"/>
  <c r="H1450" i="8" s="1"/>
  <c r="F1251" i="8"/>
  <c r="F1253" i="8"/>
  <c r="H1253" i="8" s="1"/>
  <c r="H1251" i="8" s="1"/>
  <c r="F1259" i="8"/>
  <c r="F1261" i="8"/>
  <c r="H1261" i="8" s="1"/>
  <c r="H1259" i="8" s="1"/>
  <c r="F1350" i="8"/>
  <c r="F1352" i="8"/>
  <c r="H1352" i="8" s="1"/>
  <c r="H1350" i="8" s="1"/>
  <c r="F1187" i="8"/>
  <c r="F1153" i="8"/>
  <c r="F1073" i="8"/>
  <c r="H1073" i="8" s="1"/>
  <c r="H1071" i="8" s="1"/>
  <c r="F1456" i="8" l="1"/>
  <c r="F1450" i="8"/>
  <c r="F1181" i="8"/>
  <c r="F1183" i="8"/>
  <c r="H1183" i="8" s="1"/>
  <c r="H1181" i="8" s="1"/>
  <c r="F1126" i="8"/>
  <c r="H1126" i="8" s="1"/>
  <c r="F1161" i="8"/>
  <c r="H1161" i="8" s="1"/>
  <c r="F1217" i="8"/>
  <c r="F1219" i="8"/>
  <c r="H1219" i="8" s="1"/>
  <c r="H1217" i="8" s="1"/>
  <c r="F1147" i="8"/>
  <c r="F1149" i="8"/>
  <c r="H1149" i="8" s="1"/>
  <c r="H1147" i="8" s="1"/>
  <c r="F1067" i="8"/>
  <c r="F924" i="8"/>
  <c r="F902" i="8"/>
  <c r="H902" i="8" s="1"/>
  <c r="H900" i="8" s="1"/>
  <c r="F820" i="8"/>
  <c r="F1155" i="8" l="1"/>
  <c r="F1157" i="8"/>
  <c r="H1157" i="8" s="1"/>
  <c r="H1155" i="8" s="1"/>
  <c r="F877" i="8"/>
  <c r="H877" i="8" s="1"/>
  <c r="H875" i="8" s="1"/>
  <c r="F880" i="8"/>
  <c r="H880" i="8" s="1"/>
  <c r="F936" i="8"/>
  <c r="F938" i="8"/>
  <c r="H938" i="8" s="1"/>
  <c r="H936" i="8" s="1"/>
  <c r="F1120" i="8"/>
  <c r="F1122" i="8"/>
  <c r="H1122" i="8" s="1"/>
  <c r="H1120" i="8" s="1"/>
  <c r="F855" i="8"/>
  <c r="H855" i="8" s="1"/>
  <c r="H853" i="8" s="1"/>
  <c r="F858" i="8"/>
  <c r="H858" i="8" s="1"/>
  <c r="F1019" i="8"/>
  <c r="H1019" i="8" s="1"/>
  <c r="F833" i="8"/>
  <c r="H833" i="8" s="1"/>
  <c r="H831" i="8" s="1"/>
  <c r="F836" i="8"/>
  <c r="H836" i="8" s="1"/>
  <c r="F944" i="8"/>
  <c r="F946" i="8"/>
  <c r="H946" i="8" s="1"/>
  <c r="H944" i="8" s="1"/>
  <c r="F964" i="8"/>
  <c r="H964" i="8" s="1"/>
  <c r="H961" i="8" s="1"/>
  <c r="F967" i="8"/>
  <c r="H967" i="8" s="1"/>
  <c r="F746" i="8"/>
  <c r="F732" i="8"/>
  <c r="H732" i="8" s="1"/>
  <c r="H730" i="8" s="1"/>
  <c r="F386" i="8"/>
  <c r="F539" i="8" l="1"/>
  <c r="F541" i="8"/>
  <c r="H541" i="8" s="1"/>
  <c r="H539" i="8" s="1"/>
  <c r="F559" i="8"/>
  <c r="H559" i="8" s="1"/>
  <c r="F713" i="8"/>
  <c r="H713" i="8" s="1"/>
  <c r="F730" i="8"/>
  <c r="F452" i="8"/>
  <c r="H452" i="8" s="1"/>
  <c r="F668" i="8"/>
  <c r="H668" i="8" s="1"/>
  <c r="H666" i="8" s="1"/>
  <c r="F672" i="8"/>
  <c r="H672" i="8" s="1"/>
  <c r="F756" i="8"/>
  <c r="H756" i="8" s="1"/>
  <c r="F1014" i="8"/>
  <c r="F1016" i="8"/>
  <c r="H1016" i="8" s="1"/>
  <c r="H1014" i="8" s="1"/>
  <c r="F369" i="8"/>
  <c r="H369" i="8" s="1"/>
  <c r="F311" i="8"/>
  <c r="F313" i="8"/>
  <c r="F875" i="8"/>
  <c r="F614" i="8" l="1"/>
  <c r="F616" i="8"/>
  <c r="H616" i="8" s="1"/>
  <c r="H614" i="8" s="1"/>
  <c r="F554" i="8"/>
  <c r="F556" i="8"/>
  <c r="H556" i="8" s="1"/>
  <c r="H554" i="8" s="1"/>
  <c r="F750" i="8"/>
  <c r="F752" i="8"/>
  <c r="H752" i="8" s="1"/>
  <c r="H750" i="8" s="1"/>
  <c r="F446" i="8"/>
  <c r="H446" i="8" s="1"/>
  <c r="F448" i="8"/>
  <c r="H448" i="8" s="1"/>
  <c r="F707" i="8"/>
  <c r="F709" i="8"/>
  <c r="H709" i="8" s="1"/>
  <c r="H707" i="8" s="1"/>
  <c r="F365" i="8"/>
  <c r="F367" i="8"/>
  <c r="H367" i="8" s="1"/>
  <c r="H365" i="8" s="1"/>
  <c r="F237" i="8"/>
  <c r="F221" i="8"/>
  <c r="F192" i="8"/>
  <c r="F167" i="8"/>
  <c r="F165" i="8"/>
  <c r="F10" i="8"/>
  <c r="H10" i="8" s="1"/>
  <c r="F212" i="8" l="1"/>
  <c r="F214" i="8"/>
  <c r="H214" i="8" s="1"/>
  <c r="H212" i="8" s="1"/>
  <c r="F270" i="8"/>
  <c r="H270" i="8" s="1"/>
  <c r="H268" i="8" s="1"/>
  <c r="H262" i="8" s="1"/>
  <c r="F123" i="8"/>
  <c r="F125" i="8"/>
  <c r="H125" i="8" s="1"/>
  <c r="H123" i="8" s="1"/>
  <c r="F133" i="8"/>
  <c r="F135" i="8"/>
  <c r="H135" i="8" s="1"/>
  <c r="H133" i="8" s="1"/>
  <c r="F201" i="8"/>
  <c r="F202" i="8"/>
  <c r="H202" i="8" s="1"/>
  <c r="H201" i="8" s="1"/>
  <c r="H117" i="8" l="1"/>
  <c r="H8" i="8"/>
  <c r="H104" i="8" s="1"/>
  <c r="F229" i="8"/>
  <c r="F230" i="8"/>
  <c r="H230" i="8" s="1"/>
  <c r="H229" i="8" s="1"/>
  <c r="H186" i="8" s="1"/>
  <c r="F186" i="8" l="1"/>
  <c r="F262" i="8"/>
  <c r="F268" i="8"/>
  <c r="F117" i="8"/>
  <c r="F162" i="8"/>
  <c r="F831" i="8"/>
  <c r="F900" i="8"/>
  <c r="F690" i="8"/>
  <c r="H690" i="8" s="1"/>
  <c r="F576" i="8" l="1"/>
  <c r="H576" i="8" s="1"/>
  <c r="F853" i="8"/>
  <c r="F1412" i="8"/>
  <c r="H1412" i="8" s="1"/>
  <c r="F1273" i="8"/>
  <c r="H1273" i="8" s="1"/>
  <c r="F684" i="8" l="1"/>
  <c r="F686" i="8"/>
  <c r="H686" i="8" s="1"/>
  <c r="H684" i="8" s="1"/>
  <c r="F1363" i="8"/>
  <c r="H1363" i="8" s="1"/>
  <c r="F648" i="8"/>
  <c r="F651" i="8"/>
  <c r="H651" i="8" s="1"/>
  <c r="H648" i="8" s="1"/>
  <c r="F570" i="8"/>
  <c r="F572" i="8"/>
  <c r="H572" i="8" s="1"/>
  <c r="H570" i="8" s="1"/>
  <c r="F598" i="8"/>
  <c r="H598" i="8" s="1"/>
  <c r="F791" i="8" l="1"/>
  <c r="H791" i="8" s="1"/>
  <c r="F1267" i="8"/>
  <c r="F1269" i="8"/>
  <c r="H1269" i="8" s="1"/>
  <c r="H1267" i="8" s="1"/>
  <c r="F1360" i="8"/>
  <c r="F1362" i="8"/>
  <c r="H1362" i="8" s="1"/>
  <c r="H1360" i="8" s="1"/>
  <c r="F1040" i="8"/>
  <c r="F1043" i="8"/>
  <c r="H1043" i="8" s="1"/>
  <c r="H1040" i="8" s="1"/>
  <c r="F1408" i="8"/>
  <c r="F1410" i="8"/>
  <c r="H1410" i="8" s="1"/>
  <c r="H1408" i="8" s="1"/>
  <c r="F1071" i="8"/>
  <c r="F961" i="8"/>
  <c r="F994" i="8"/>
  <c r="H994" i="8" s="1"/>
  <c r="F666" i="8"/>
  <c r="F1392" i="8"/>
  <c r="F1197" i="8"/>
  <c r="H1197" i="8" s="1"/>
  <c r="F1299" i="8"/>
  <c r="F1334" i="8"/>
  <c r="F802" i="8" l="1"/>
  <c r="F804" i="8"/>
  <c r="H804" i="8" s="1"/>
  <c r="H802" i="8" s="1"/>
  <c r="F593" i="8"/>
  <c r="F595" i="8"/>
  <c r="H595" i="8" s="1"/>
  <c r="H593" i="8" s="1"/>
  <c r="F399" i="8"/>
  <c r="H399" i="8" s="1"/>
  <c r="H397" i="8" s="1"/>
  <c r="F403" i="8"/>
  <c r="H403" i="8" s="1"/>
  <c r="F771" i="8"/>
  <c r="F773" i="8"/>
  <c r="H773" i="8" s="1"/>
  <c r="H771" i="8" s="1"/>
  <c r="F785" i="8"/>
  <c r="F787" i="8"/>
  <c r="H787" i="8" s="1"/>
  <c r="H785" i="8" s="1"/>
  <c r="H359" i="8" l="1"/>
  <c r="F988" i="8"/>
  <c r="F991" i="8"/>
  <c r="H991" i="8" s="1"/>
  <c r="H988" i="8" s="1"/>
  <c r="F1191" i="8"/>
  <c r="F1193" i="8"/>
  <c r="H1193" i="8" s="1"/>
  <c r="H1191" i="8" s="1"/>
  <c r="H955" i="8" l="1"/>
  <c r="F397" i="8"/>
  <c r="F359" i="8" s="1"/>
  <c r="F955" i="8"/>
  <c r="F305" i="8" l="1"/>
  <c r="H305" i="8" l="1"/>
  <c r="F288" i="8"/>
  <c r="F1618" i="8"/>
  <c r="H288" i="8" l="1"/>
  <c r="H1618" i="8" s="1"/>
  <c r="H1619" i="8" s="1"/>
  <c r="H1748" i="8" s="1"/>
  <c r="H1756" i="8" s="1"/>
  <c r="F1619" i="8"/>
  <c r="F1748" i="8" l="1"/>
  <c r="F1756" i="8" s="1"/>
  <c r="K359" i="8"/>
  <c r="K1618" i="8" s="1"/>
  <c r="K1619" i="8" l="1"/>
  <c r="K1748" i="8" s="1"/>
  <c r="K1756" i="8" s="1"/>
  <c r="N198" i="8" l="1"/>
  <c r="P198" i="8" s="1"/>
  <c r="P194" i="8" s="1"/>
  <c r="N197" i="8"/>
  <c r="Q197" i="8" s="1"/>
  <c r="N195" i="8"/>
  <c r="Q195" i="8" s="1"/>
  <c r="N199" i="8"/>
  <c r="Q199" i="8" s="1"/>
  <c r="N196" i="8"/>
  <c r="Q196" i="8" s="1"/>
  <c r="P192" i="8" l="1"/>
  <c r="P190" i="8"/>
  <c r="Q198" i="8"/>
  <c r="N194" i="8"/>
  <c r="N190" i="8" s="1"/>
  <c r="N111" i="8" s="1"/>
  <c r="N108" i="8" s="1"/>
  <c r="N114" i="8" s="1"/>
  <c r="N187" i="8" l="1"/>
  <c r="P111" i="8"/>
  <c r="P108" i="8" s="1"/>
  <c r="P186" i="8"/>
  <c r="P107" i="8" s="1"/>
  <c r="Q194" i="8"/>
  <c r="N192" i="8"/>
  <c r="Q111" i="8" l="1"/>
  <c r="R111" i="8"/>
  <c r="P114" i="8"/>
  <c r="Q114" i="8" s="1"/>
  <c r="R190" i="8"/>
  <c r="Q190" i="8"/>
  <c r="P187" i="8"/>
  <c r="R187" i="8" s="1"/>
  <c r="Q192" i="8"/>
  <c r="P1618" i="8"/>
  <c r="N186" i="8"/>
  <c r="N107" i="8" s="1"/>
  <c r="P1619" i="8" l="1"/>
  <c r="P1748" i="8" s="1"/>
  <c r="R108" i="8"/>
  <c r="Q108" i="8"/>
  <c r="Q187" i="8"/>
  <c r="Q186" i="8"/>
  <c r="N1618" i="8"/>
  <c r="P1756" i="8" l="1"/>
  <c r="Q1748" i="8"/>
  <c r="N1619" i="8"/>
  <c r="Q1618" i="8"/>
  <c r="Q1619" i="8" l="1"/>
  <c r="R1620" i="8"/>
  <c r="N1748" i="8"/>
  <c r="N175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Elle Kaljurand</author>
  </authors>
  <commentList>
    <comment ref="U970" authorId="0" shapeId="0" xr:uid="{742C9B2A-D007-44B9-B13E-7D2F76DFED40}">
      <text>
        <r>
          <rPr>
            <b/>
            <sz val="9"/>
            <color indexed="81"/>
            <rFont val="Segoe UI"/>
            <charset val="1"/>
          </rPr>
          <t>Elle Kaljurand: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<sst xmlns="http://schemas.openxmlformats.org/spreadsheetml/2006/main" count="3046" uniqueCount="1611">
  <si>
    <t>TARTU VALLA 2020. AASTA EELARVE EELNÕU</t>
  </si>
  <si>
    <t>I</t>
  </si>
  <si>
    <t>PÕHITEGEVUSE TULUD:</t>
  </si>
  <si>
    <t>klassi-</t>
  </si>
  <si>
    <t>fikaator</t>
  </si>
  <si>
    <t>Tulude nimetus</t>
  </si>
  <si>
    <t>II lugemine</t>
  </si>
  <si>
    <t>Eelarve 2021 II lugemine</t>
  </si>
  <si>
    <t>Lisaeelarve</t>
  </si>
  <si>
    <t>EA+LE</t>
  </si>
  <si>
    <t xml:space="preserve">30              </t>
  </si>
  <si>
    <t xml:space="preserve"> MAKSUTULUD</t>
  </si>
  <si>
    <t xml:space="preserve">3000            </t>
  </si>
  <si>
    <t xml:space="preserve"> Füüsilise isiku tulumaks</t>
  </si>
  <si>
    <t xml:space="preserve">3030            </t>
  </si>
  <si>
    <t xml:space="preserve"> Maamaks</t>
  </si>
  <si>
    <t xml:space="preserve">32              </t>
  </si>
  <si>
    <t xml:space="preserve"> KAUPADE JA TEENUSTE  MÜÜK</t>
  </si>
  <si>
    <t xml:space="preserve">320             </t>
  </si>
  <si>
    <t xml:space="preserve"> Riigilõivud</t>
  </si>
  <si>
    <t xml:space="preserve">3220            </t>
  </si>
  <si>
    <t>Tulud haridusalasest tegevusest</t>
  </si>
  <si>
    <t xml:space="preserve"> *lastaiakohamaks teised OV-d</t>
  </si>
  <si>
    <t xml:space="preserve"> *koolikohamaks teised OV-d</t>
  </si>
  <si>
    <t xml:space="preserve"> * õppemaks Raadi LH</t>
  </si>
  <si>
    <t xml:space="preserve"> *õppemaks Ripsik</t>
  </si>
  <si>
    <t xml:space="preserve"> *õppemaks Tabivere Lasteaed</t>
  </si>
  <si>
    <t xml:space="preserve"> *muud tulud (toitlustamine)</t>
  </si>
  <si>
    <t xml:space="preserve"> *töövihikud</t>
  </si>
  <si>
    <t xml:space="preserve"> *õpilasmalev</t>
  </si>
  <si>
    <t xml:space="preserve">3221            </t>
  </si>
  <si>
    <t>Tulud kultuurialasest tegevusest</t>
  </si>
  <si>
    <t xml:space="preserve"> *Laeva kutuurimaja</t>
  </si>
  <si>
    <t xml:space="preserve"> *Tabivere rahvamaja</t>
  </si>
  <si>
    <t xml:space="preserve"> *Maarja-Magdaleena rahvamaja</t>
  </si>
  <si>
    <t xml:space="preserve"> *Tammistu külakeskus</t>
  </si>
  <si>
    <t>*raamatukogu tasulised teenuses</t>
  </si>
  <si>
    <t>*Maarja ANK</t>
  </si>
  <si>
    <t>* Laeva ANK</t>
  </si>
  <si>
    <t>Tulud spordialasest tegevusest</t>
  </si>
  <si>
    <t xml:space="preserve"> * spordikooli õppemaks - lapsevanem   </t>
  </si>
  <si>
    <t xml:space="preserve"> * Lähte SPH - renditulud</t>
  </si>
  <si>
    <t xml:space="preserve"> * Kõrveküla SPH - renditulud</t>
  </si>
  <si>
    <t xml:space="preserve"> * spordikooli kohamaks - teised OV-d        </t>
  </si>
  <si>
    <t>Tulud sotsiaalasut.maj.tegevusest</t>
  </si>
  <si>
    <t xml:space="preserve"> *hooldekodu</t>
  </si>
  <si>
    <t xml:space="preserve"> *Pikaajaline kaitstud töö omatulu</t>
  </si>
  <si>
    <t xml:space="preserve"> *Transporditeenus</t>
  </si>
  <si>
    <t xml:space="preserve">3225            </t>
  </si>
  <si>
    <t>3229</t>
  </si>
  <si>
    <t>3230</t>
  </si>
  <si>
    <t>Tulu trasporditeenustelt</t>
  </si>
  <si>
    <t xml:space="preserve">3233            </t>
  </si>
  <si>
    <t xml:space="preserve">3237            </t>
  </si>
  <si>
    <t xml:space="preserve">3238            </t>
  </si>
  <si>
    <t>SAADAVAD TOETUSED TEG:KULUDEKS</t>
  </si>
  <si>
    <t>Toetused tegevuskuludeks</t>
  </si>
  <si>
    <t>35000002</t>
  </si>
  <si>
    <t>Kaitseministeerium</t>
  </si>
  <si>
    <t xml:space="preserve">35000006        </t>
  </si>
  <si>
    <t>35000008</t>
  </si>
  <si>
    <t>Maaeluministeerium</t>
  </si>
  <si>
    <t xml:space="preserve">35000009        </t>
  </si>
  <si>
    <t>Rahandusministeerium</t>
  </si>
  <si>
    <t>Siseministeerium</t>
  </si>
  <si>
    <t>Sotsiaalministeeium</t>
  </si>
  <si>
    <t>350002</t>
  </si>
  <si>
    <t xml:space="preserve">350003          </t>
  </si>
  <si>
    <t>350003</t>
  </si>
  <si>
    <t>35008</t>
  </si>
  <si>
    <t>muudelt residentidelt</t>
  </si>
  <si>
    <t>35509</t>
  </si>
  <si>
    <t>mitteresidentidelt</t>
  </si>
  <si>
    <t xml:space="preserve">352             </t>
  </si>
  <si>
    <t>tasandusfond (lg 1)</t>
  </si>
  <si>
    <t>toetusfond (lg 2)</t>
  </si>
  <si>
    <t>352100</t>
  </si>
  <si>
    <t xml:space="preserve">38              </t>
  </si>
  <si>
    <t>MUUD TEGEVUSTULUD</t>
  </si>
  <si>
    <t>38250</t>
  </si>
  <si>
    <t>Üleriigilisetähtsusega maardlate kaevandamisõiguse tasu</t>
  </si>
  <si>
    <t>38251</t>
  </si>
  <si>
    <t xml:space="preserve">Kohaliku tähtsusega maardlate kaevand.õiguse tasu </t>
  </si>
  <si>
    <t xml:space="preserve">382520          </t>
  </si>
  <si>
    <t xml:space="preserve"> Laekumine vee erikasutusest RT maardlad</t>
  </si>
  <si>
    <t xml:space="preserve">382540          </t>
  </si>
  <si>
    <t>vee erikasutus</t>
  </si>
  <si>
    <t>38256</t>
  </si>
  <si>
    <t>Kalapüügiõiguse tasu</t>
  </si>
  <si>
    <t>3880</t>
  </si>
  <si>
    <t>TRAHVID</t>
  </si>
  <si>
    <t>3888</t>
  </si>
  <si>
    <t>Muud tulud</t>
  </si>
  <si>
    <t>I osa</t>
  </si>
  <si>
    <t>PÕHITEGEVUSE TULUD KOKKU</t>
  </si>
  <si>
    <t>II</t>
  </si>
  <si>
    <t>PÕHITEGEVUSE KULUD</t>
  </si>
  <si>
    <t xml:space="preserve">01              </t>
  </si>
  <si>
    <t xml:space="preserve"> ÜLDISED VALITSUSSEKTORI TEENUSED</t>
  </si>
  <si>
    <t xml:space="preserve">01111           </t>
  </si>
  <si>
    <t xml:space="preserve"> Valla- ja linnavolikogu</t>
  </si>
  <si>
    <t xml:space="preserve">50              </t>
  </si>
  <si>
    <t xml:space="preserve">    Personalikulud (koos maksudega)</t>
  </si>
  <si>
    <t xml:space="preserve">55              </t>
  </si>
  <si>
    <t xml:space="preserve">    Majandamiskulud</t>
  </si>
  <si>
    <t xml:space="preserve">5500            </t>
  </si>
  <si>
    <t xml:space="preserve">    Administreerimiskulud (esindus, vastuvõtt)</t>
  </si>
  <si>
    <t xml:space="preserve">    Lähetuskulud</t>
  </si>
  <si>
    <t xml:space="preserve">5504            </t>
  </si>
  <si>
    <t xml:space="preserve">    Koolituskulud, üritused</t>
  </si>
  <si>
    <t xml:space="preserve">    Kinnistute, hoonete ja ruumide majand.kulud kokku </t>
  </si>
  <si>
    <t xml:space="preserve">  - üür ja rent</t>
  </si>
  <si>
    <t xml:space="preserve">    Info- ja kommunikats.kulud ning  hooldus</t>
  </si>
  <si>
    <t xml:space="preserve">01112           </t>
  </si>
  <si>
    <t xml:space="preserve"> Valla- ja linnavalitsus</t>
  </si>
  <si>
    <t xml:space="preserve">    Administreerimiskulud </t>
  </si>
  <si>
    <t xml:space="preserve">    Uurimis- ja arendustööde ostukulud</t>
  </si>
  <si>
    <t xml:space="preserve">5503            </t>
  </si>
  <si>
    <t xml:space="preserve">    Koolituskulud</t>
  </si>
  <si>
    <t xml:space="preserve">5511            </t>
  </si>
  <si>
    <t xml:space="preserve"> * küte- ja soojusenergia</t>
  </si>
  <si>
    <t xml:space="preserve"> * elekter</t>
  </si>
  <si>
    <t xml:space="preserve"> * vesi - ja kanalisatsioon</t>
  </si>
  <si>
    <t xml:space="preserve"> * korrashoiumaterjalid, lisaseadm. ja tarvikud</t>
  </si>
  <si>
    <t xml:space="preserve"> * korrashoiuteenus</t>
  </si>
  <si>
    <t>* valveteenused</t>
  </si>
  <si>
    <t xml:space="preserve"> * remonditeenus</t>
  </si>
  <si>
    <t>* kindlustusmaksed</t>
  </si>
  <si>
    <t>* muud kulud</t>
  </si>
  <si>
    <t xml:space="preserve">5513            </t>
  </si>
  <si>
    <t xml:space="preserve">    Sõidukite ülapidamiskulud</t>
  </si>
  <si>
    <t xml:space="preserve">5514            </t>
  </si>
  <si>
    <t xml:space="preserve">5515            </t>
  </si>
  <si>
    <t xml:space="preserve">    Inventari kulud ja hooldus</t>
  </si>
  <si>
    <t xml:space="preserve">5516            </t>
  </si>
  <si>
    <t xml:space="preserve">    Masinate ja seadmete ülalp.kulud (katlamajad)</t>
  </si>
  <si>
    <t xml:space="preserve">5522            </t>
  </si>
  <si>
    <t xml:space="preserve">    Meditsiinikulud ja hügieenitarbed</t>
  </si>
  <si>
    <t xml:space="preserve">5525            </t>
  </si>
  <si>
    <t xml:space="preserve">    Kultuuri- ja vaba aja sisust.kulud (üritused)</t>
  </si>
  <si>
    <t xml:space="preserve">    Muud kulud (riigilõiv, maamaks,saaste)</t>
  </si>
  <si>
    <t xml:space="preserve">01114           </t>
  </si>
  <si>
    <t xml:space="preserve"> Reservfond</t>
  </si>
  <si>
    <t>Reservfond</t>
  </si>
  <si>
    <t xml:space="preserve">01600           </t>
  </si>
  <si>
    <t>Muud teenused (valimised )</t>
  </si>
  <si>
    <t xml:space="preserve">    Personalikulud</t>
  </si>
  <si>
    <t>,</t>
  </si>
  <si>
    <t xml:space="preserve">   Majandamiskulud</t>
  </si>
  <si>
    <t>01800</t>
  </si>
  <si>
    <t xml:space="preserve"> Üldiseloomuga ülekanded valitsussektoris</t>
  </si>
  <si>
    <t xml:space="preserve">    Antud toetused (EMOL, TOL, Leader-grupid, ÜTK)</t>
  </si>
  <si>
    <t>02</t>
  </si>
  <si>
    <t>RIIGIKAITSE</t>
  </si>
  <si>
    <t>02200</t>
  </si>
  <si>
    <t>Tsiviilkaitse</t>
  </si>
  <si>
    <t xml:space="preserve">03              </t>
  </si>
  <si>
    <t xml:space="preserve"> AVALIK KORD JA JULGEOLEK</t>
  </si>
  <si>
    <t>Päästeteenused</t>
  </si>
  <si>
    <t xml:space="preserve">04              </t>
  </si>
  <si>
    <t xml:space="preserve"> MAJANDUS</t>
  </si>
  <si>
    <t xml:space="preserve">045101          </t>
  </si>
  <si>
    <t xml:space="preserve"> Autotransport</t>
  </si>
  <si>
    <t xml:space="preserve">    Administreerimiskulud (sidekulu)</t>
  </si>
  <si>
    <t xml:space="preserve">5540            </t>
  </si>
  <si>
    <t xml:space="preserve">045102          </t>
  </si>
  <si>
    <t xml:space="preserve"> Valla teed , tänavad jm.rajatised (jooksev remont)</t>
  </si>
  <si>
    <t xml:space="preserve">   Rajatiste majandamiskulud  </t>
  </si>
  <si>
    <t xml:space="preserve">    Inventarikulu</t>
  </si>
  <si>
    <t>04520</t>
  </si>
  <si>
    <t>Veetransport</t>
  </si>
  <si>
    <t>04710</t>
  </si>
  <si>
    <t>Kaubandus ja laondus</t>
  </si>
  <si>
    <t xml:space="preserve">    Sihtotstarbelised eraldised</t>
  </si>
  <si>
    <t xml:space="preserve">04740           </t>
  </si>
  <si>
    <t xml:space="preserve"> Planeeringud, projektid ja muu arendustegevus</t>
  </si>
  <si>
    <t xml:space="preserve">    Majandamiskulud (projektide taotlused, arendus)</t>
  </si>
  <si>
    <t xml:space="preserve">    Planeerimis-, projekteerimis- ja arenduskulud</t>
  </si>
  <si>
    <t>049001</t>
  </si>
  <si>
    <t xml:space="preserve">Majanduse haldus </t>
  </si>
  <si>
    <t xml:space="preserve">    Administreerimiskulud</t>
  </si>
  <si>
    <t xml:space="preserve"> * valveteenused</t>
  </si>
  <si>
    <t xml:space="preserve"> * muud kulud</t>
  </si>
  <si>
    <t xml:space="preserve">    Rajatiste majanduskulud</t>
  </si>
  <si>
    <t xml:space="preserve">05              </t>
  </si>
  <si>
    <t xml:space="preserve"> KESKKONNAKAITSE</t>
  </si>
  <si>
    <t xml:space="preserve">05100           </t>
  </si>
  <si>
    <t xml:space="preserve"> Jäätmekäitlus (sh prügivedu)</t>
  </si>
  <si>
    <t xml:space="preserve">    Antud  toetused</t>
  </si>
  <si>
    <t xml:space="preserve">    Rajatiste majandamiskulud</t>
  </si>
  <si>
    <t>05101</t>
  </si>
  <si>
    <t>Avalike alade puhastus(teed,tänavad, haljasaalad)</t>
  </si>
  <si>
    <t xml:space="preserve">    Majandamiskulud (rajatised, haljasalad,  heakord)</t>
  </si>
  <si>
    <t xml:space="preserve">    Muud majanduskulud</t>
  </si>
  <si>
    <t xml:space="preserve">06              </t>
  </si>
  <si>
    <t xml:space="preserve"> ELAMU- JA KOMMUNAALMAJANDUS</t>
  </si>
  <si>
    <t xml:space="preserve">06300           </t>
  </si>
  <si>
    <t xml:space="preserve"> Veevarustus</t>
  </si>
  <si>
    <t xml:space="preserve"> *remonditeenus</t>
  </si>
  <si>
    <t xml:space="preserve">06400           </t>
  </si>
  <si>
    <t xml:space="preserve"> Tänavavalgustus</t>
  </si>
  <si>
    <t xml:space="preserve">    Majandamiskulud (rajatiste korrashoid)</t>
  </si>
  <si>
    <t xml:space="preserve"> *elekter</t>
  </si>
  <si>
    <t>Kalmistud</t>
  </si>
  <si>
    <t xml:space="preserve">    Eri- ja vormiriietus</t>
  </si>
  <si>
    <t xml:space="preserve">    Muud (tr.teenus, muu maj.kulu) </t>
  </si>
  <si>
    <t>066052</t>
  </si>
  <si>
    <t>Elamumajandus (valla korterid)</t>
  </si>
  <si>
    <t xml:space="preserve"> *üür ja rent</t>
  </si>
  <si>
    <t xml:space="preserve"> *mud hoonete ja ruumide kulud</t>
  </si>
  <si>
    <t xml:space="preserve">    Masinate ja sead.ülalp.kulud (katlamajad+ventilat)</t>
  </si>
  <si>
    <t>066053</t>
  </si>
  <si>
    <t>Loomade varjupaik</t>
  </si>
  <si>
    <t>Üldmeditsiiniteenused</t>
  </si>
  <si>
    <t xml:space="preserve">    Majandamiskulud, ravikindlustuseta</t>
  </si>
  <si>
    <t xml:space="preserve">08              </t>
  </si>
  <si>
    <t xml:space="preserve"> VABA AEG, KULTUUR, RELIGIOON</t>
  </si>
  <si>
    <t xml:space="preserve"> Kõrveküla Spordihall</t>
  </si>
  <si>
    <t>081023</t>
  </si>
  <si>
    <t xml:space="preserve"> Ülevallalised spordiüritused</t>
  </si>
  <si>
    <t xml:space="preserve">   Toetus</t>
  </si>
  <si>
    <t xml:space="preserve">   Koolituskulud</t>
  </si>
  <si>
    <t xml:space="preserve">    Kinnistute, hoonete ja ruumide majand.kulud </t>
  </si>
  <si>
    <t xml:space="preserve">    * küte- ja soojusenergia</t>
  </si>
  <si>
    <t xml:space="preserve">    * elekter</t>
  </si>
  <si>
    <t xml:space="preserve">    * vesi - ja kanalisatsioon</t>
  </si>
  <si>
    <t xml:space="preserve">    * korrashoiumaterjalid, lisaseadm. ja tarvikud</t>
  </si>
  <si>
    <t xml:space="preserve">    * korrashoiuteenus</t>
  </si>
  <si>
    <t xml:space="preserve">    * valveteenused</t>
  </si>
  <si>
    <t xml:space="preserve">    * üür ja rent</t>
  </si>
  <si>
    <t xml:space="preserve">    * remonditeenus (restaureerim, lammutus)</t>
  </si>
  <si>
    <t xml:space="preserve">    * kindlustusmaksed</t>
  </si>
  <si>
    <t xml:space="preserve">    * muud kulud</t>
  </si>
  <si>
    <t>08102</t>
  </si>
  <si>
    <t>Tartu Valla Spordikool</t>
  </si>
  <si>
    <t xml:space="preserve"> Arvlemine spordiklubid</t>
  </si>
  <si>
    <t>Laeva Spordihoone</t>
  </si>
  <si>
    <t xml:space="preserve">   Administreerimiskulud</t>
  </si>
  <si>
    <t xml:space="preserve">   * üür ja rent</t>
  </si>
  <si>
    <t xml:space="preserve">    *muud kulud</t>
  </si>
  <si>
    <t xml:space="preserve">    Õppevahendid ja kohamaksud OV-dele jm.</t>
  </si>
  <si>
    <t>Tartu Valla Spordiklubi</t>
  </si>
  <si>
    <t xml:space="preserve">   Tegevustoetus</t>
  </si>
  <si>
    <t xml:space="preserve">    Isikliku sõiduauto kasutus</t>
  </si>
  <si>
    <t>Terviserajad</t>
  </si>
  <si>
    <t xml:space="preserve">    Koolitus-/lähetus kulud</t>
  </si>
  <si>
    <t xml:space="preserve">    Riigilõivud</t>
  </si>
  <si>
    <t>Tabivere spordihoone</t>
  </si>
  <si>
    <t xml:space="preserve">     * küte</t>
  </si>
  <si>
    <t xml:space="preserve">    *üür ja rent </t>
  </si>
  <si>
    <t xml:space="preserve">   *muud</t>
  </si>
  <si>
    <t>Kõrveküla kooli SH</t>
  </si>
  <si>
    <t xml:space="preserve"> * üür ja rent</t>
  </si>
  <si>
    <t>081072</t>
  </si>
  <si>
    <t>Laeva Noortekeskus</t>
  </si>
  <si>
    <t xml:space="preserve">    Kinnistute, hoonete ja ruumide majand.kulud</t>
  </si>
  <si>
    <t xml:space="preserve">    Muud mitmesugused majanduskulud</t>
  </si>
  <si>
    <t>081073</t>
  </si>
  <si>
    <t>Tabivere noortekeskus</t>
  </si>
  <si>
    <t xml:space="preserve"> * korrashoid</t>
  </si>
  <si>
    <t xml:space="preserve"> * jooksev remont</t>
  </si>
  <si>
    <t xml:space="preserve">   Toiduained</t>
  </si>
  <si>
    <t>Maarja-Magdaleena noortekeskus</t>
  </si>
  <si>
    <t xml:space="preserve">    Toiduained</t>
  </si>
  <si>
    <t>081076</t>
  </si>
  <si>
    <t>Lähte noortekeskus</t>
  </si>
  <si>
    <t xml:space="preserve">  * küte- ja soojusenergia</t>
  </si>
  <si>
    <t xml:space="preserve">  *valvekulud</t>
  </si>
  <si>
    <t>*kindlustus</t>
  </si>
  <si>
    <t>081078</t>
  </si>
  <si>
    <t>Õpilasmalev</t>
  </si>
  <si>
    <t>081079</t>
  </si>
  <si>
    <t xml:space="preserve">  Noorsootööspetsialist</t>
  </si>
  <si>
    <t>081091</t>
  </si>
  <si>
    <t xml:space="preserve"> Ülevallalised kultuuriüritused</t>
  </si>
  <si>
    <t xml:space="preserve">    Antud toetused</t>
  </si>
  <si>
    <t xml:space="preserve">    Majandamiskulud  (ürituste korraldamine)</t>
  </si>
  <si>
    <t>Lähte Ühisraamatukogu</t>
  </si>
  <si>
    <t xml:space="preserve">    Liikmemaks</t>
  </si>
  <si>
    <t xml:space="preserve">5523            </t>
  </si>
  <si>
    <t xml:space="preserve">    Teavikud ja kunstiesemed</t>
  </si>
  <si>
    <t xml:space="preserve"> Äksi RK</t>
  </si>
  <si>
    <t>* remonditeenus (restaureerim, lammutus), remondimaterjalid</t>
  </si>
  <si>
    <t xml:space="preserve"> * kindlustus</t>
  </si>
  <si>
    <t xml:space="preserve"> * rent </t>
  </si>
  <si>
    <t xml:space="preserve"> Tammistu RK</t>
  </si>
  <si>
    <t xml:space="preserve"> *korrashoiuteenus</t>
  </si>
  <si>
    <t xml:space="preserve"> *muud</t>
  </si>
  <si>
    <t xml:space="preserve"> Vedu RK</t>
  </si>
  <si>
    <t xml:space="preserve">   Lähetuskulud</t>
  </si>
  <si>
    <t>* üür ja rent</t>
  </si>
  <si>
    <t xml:space="preserve"> Kõrveküla RK  vald </t>
  </si>
  <si>
    <t xml:space="preserve">    Sõidukulud (isikl.auto kasutus)</t>
  </si>
  <si>
    <t xml:space="preserve"> Kõrveküla RK (maakonna rmtk.)</t>
  </si>
  <si>
    <t xml:space="preserve">    Majandamiskulud (teavikud)</t>
  </si>
  <si>
    <t>Laeva RK</t>
  </si>
  <si>
    <t xml:space="preserve">Tabivere raamatukogu                             </t>
  </si>
  <si>
    <t xml:space="preserve">    Info- ja komm.tehnoloogia kulud</t>
  </si>
  <si>
    <t xml:space="preserve">    Inventari kulud</t>
  </si>
  <si>
    <t xml:space="preserve">    Kultuuri-ja vaba aja sisustamise kulud</t>
  </si>
  <si>
    <t xml:space="preserve">Elistvere raamatukogu                           </t>
  </si>
  <si>
    <t xml:space="preserve"> *remondimaterjalid</t>
  </si>
  <si>
    <t xml:space="preserve">    Töötervishoiu kulud</t>
  </si>
  <si>
    <t>0820110</t>
  </si>
  <si>
    <t xml:space="preserve">Maarja raamatukogu                          </t>
  </si>
  <si>
    <t>Piirissaare raamatukogu</t>
  </si>
  <si>
    <t>082021</t>
  </si>
  <si>
    <t>Laeva kultuurimaja</t>
  </si>
  <si>
    <t xml:space="preserve">* muud kulud </t>
  </si>
  <si>
    <t xml:space="preserve">    Sõidukite ülalpidamise kulud</t>
  </si>
  <si>
    <t>082023</t>
  </si>
  <si>
    <t xml:space="preserve">Maarja-Magdaleena rahvamaja                             </t>
  </si>
  <si>
    <t>082022</t>
  </si>
  <si>
    <t>Tabivere rahvamaja</t>
  </si>
  <si>
    <t xml:space="preserve">    Tervisekontroll, meditsiinikulud</t>
  </si>
  <si>
    <t>Tammistu külakeskus</t>
  </si>
  <si>
    <t>082031</t>
  </si>
  <si>
    <t>Jääaja Keskus</t>
  </si>
  <si>
    <t xml:space="preserve">    Antud toetused (SA Saadjärve )</t>
  </si>
  <si>
    <t xml:space="preserve">    Administreerimiskulud kokku sh.    </t>
  </si>
  <si>
    <t>082032</t>
  </si>
  <si>
    <t>Tabivere muuseum</t>
  </si>
  <si>
    <t xml:space="preserve">    Toetused</t>
  </si>
  <si>
    <t xml:space="preserve">08300           </t>
  </si>
  <si>
    <t xml:space="preserve"> Valla ajaleht, veebileht</t>
  </si>
  <si>
    <t xml:space="preserve">08400           </t>
  </si>
  <si>
    <t xml:space="preserve"> Religioon</t>
  </si>
  <si>
    <t>45</t>
  </si>
  <si>
    <t xml:space="preserve">   Toetused</t>
  </si>
  <si>
    <t>08600</t>
  </si>
  <si>
    <t xml:space="preserve">09              </t>
  </si>
  <si>
    <t xml:space="preserve"> HARIDUS</t>
  </si>
  <si>
    <t xml:space="preserve"> Kõrveküla LA koos Raadi LH-ga</t>
  </si>
  <si>
    <t>korr</t>
  </si>
  <si>
    <t xml:space="preserve">    Antud toetused (Raadi SA-le)</t>
  </si>
  <si>
    <t xml:space="preserve">   *elekter</t>
  </si>
  <si>
    <t xml:space="preserve">   *vesi</t>
  </si>
  <si>
    <t xml:space="preserve">    *valve</t>
  </si>
  <si>
    <t xml:space="preserve">    * remondimaterjalid</t>
  </si>
  <si>
    <t>    * muud kulud</t>
  </si>
  <si>
    <t xml:space="preserve">   * kindlustus</t>
  </si>
  <si>
    <t xml:space="preserve">    Masinate ülalpidamise kulud (katlamaja+vent)</t>
  </si>
  <si>
    <t xml:space="preserve">5521            </t>
  </si>
  <si>
    <t xml:space="preserve">    Toiduained ja toitlustusteenused</t>
  </si>
  <si>
    <t xml:space="preserve">5524            </t>
  </si>
  <si>
    <t xml:space="preserve">    Õppevahendid</t>
  </si>
  <si>
    <t xml:space="preserve">    *korrashoiuteenus</t>
  </si>
  <si>
    <t>    * valvekulud</t>
  </si>
  <si>
    <t>    * kindlustus</t>
  </si>
  <si>
    <t>    *üür ja rent</t>
  </si>
  <si>
    <t xml:space="preserve">    Sõidukite ülapidamiskulud (isikl.sõiduauto komp.)</t>
  </si>
  <si>
    <t xml:space="preserve">    Õppevahendid </t>
  </si>
  <si>
    <t>Laeva Lasteaed</t>
  </si>
  <si>
    <t xml:space="preserve">   * korrashoiuteenus</t>
  </si>
  <si>
    <t>    *muud kulud</t>
  </si>
  <si>
    <t>    *tulekahju sign</t>
  </si>
  <si>
    <t xml:space="preserve">    Sõidukite ülalpidamise kulud, v.a kaitseotstarbeli</t>
  </si>
  <si>
    <t xml:space="preserve">    Info- ja kommunikatsioonitehnoloogia kulud</t>
  </si>
  <si>
    <t xml:space="preserve">    Inventari kulud, v.a infotehnoloogia ja kaitseotst</t>
  </si>
  <si>
    <t>Raadi Lasteaed Ripsik</t>
  </si>
  <si>
    <t xml:space="preserve"> Arvlemised,LA kohamaks (teised KOV +lapsehoid)</t>
  </si>
  <si>
    <t>Tabivere lasteaed</t>
  </si>
  <si>
    <t xml:space="preserve">    Ruumide majandamiskulud</t>
  </si>
  <si>
    <t xml:space="preserve">    *kindlustus</t>
  </si>
  <si>
    <t xml:space="preserve">    Muud mitmesugused majanduskulud (bussi kasutus)</t>
  </si>
  <si>
    <t>Maarja lasteaed</t>
  </si>
  <si>
    <t xml:space="preserve"> Kõrveküla PK vald</t>
  </si>
  <si>
    <t xml:space="preserve">    * korrashoiu- ja remondimaterjalid</t>
  </si>
  <si>
    <t xml:space="preserve">  * muud kulud </t>
  </si>
  <si>
    <t xml:space="preserve"> Kõrveküla PK  riik (õpetajad)</t>
  </si>
  <si>
    <t xml:space="preserve">    Õppekirjandus</t>
  </si>
  <si>
    <t xml:space="preserve"> Kõrveküla PK  juhid </t>
  </si>
  <si>
    <t>Laeva Põhikool</t>
  </si>
  <si>
    <t xml:space="preserve">    Teavikud </t>
  </si>
  <si>
    <t>Laeva Põhikool - riik</t>
  </si>
  <si>
    <t xml:space="preserve">   Õppevahendid</t>
  </si>
  <si>
    <t xml:space="preserve">Laeva PK  juhid </t>
  </si>
  <si>
    <t>09212</t>
  </si>
  <si>
    <t xml:space="preserve"> Hariduskulud teistele valdadele (põhikool)</t>
  </si>
  <si>
    <t xml:space="preserve">Tabivere Põhikool                           </t>
  </si>
  <si>
    <t xml:space="preserve">   Ruumide majandamiskulud</t>
  </si>
  <si>
    <t xml:space="preserve">   Sõidukite ülalpidamise kulud</t>
  </si>
  <si>
    <t xml:space="preserve">   Info- ja komm.tehnoloogia kulud</t>
  </si>
  <si>
    <t xml:space="preserve">   Inventari kulud</t>
  </si>
  <si>
    <t xml:space="preserve">    Tööriided</t>
  </si>
  <si>
    <t>Tabivere Põhikool - riik</t>
  </si>
  <si>
    <t>Tabivere PK juhid</t>
  </si>
  <si>
    <t xml:space="preserve"> </t>
  </si>
  <si>
    <t xml:space="preserve">    * valvekulud</t>
  </si>
  <si>
    <t xml:space="preserve">    * remonditeenus</t>
  </si>
  <si>
    <t xml:space="preserve">    *muud</t>
  </si>
  <si>
    <t xml:space="preserve">  * kindlustus</t>
  </si>
  <si>
    <t xml:space="preserve">   Meditsiinikulud ja hügieenitarbed</t>
  </si>
  <si>
    <t xml:space="preserve">    Teavikud</t>
  </si>
  <si>
    <t xml:space="preserve">   Kultuuri-ja vaba aja sisustamise kulud</t>
  </si>
  <si>
    <t xml:space="preserve">   Muud mitmesugused majanduskulud+erasmus 20000</t>
  </si>
  <si>
    <t>Maarja Põhikool  - riik</t>
  </si>
  <si>
    <t>Maarja Põhikool juhid</t>
  </si>
  <si>
    <t>092131</t>
  </si>
  <si>
    <t xml:space="preserve"> Lähte ÜG gümn.osa  õpetajad (riik)</t>
  </si>
  <si>
    <t xml:space="preserve"> Lähte ÜG vald</t>
  </si>
  <si>
    <t xml:space="preserve">    * üür ja rent+ muud</t>
  </si>
  <si>
    <t xml:space="preserve">    Masinate ja seadmete ülalp.kulud (katlamajad, vent.)</t>
  </si>
  <si>
    <t xml:space="preserve">   Saastetasud</t>
  </si>
  <si>
    <t xml:space="preserve"> Lähte ÜG juhid </t>
  </si>
  <si>
    <t>095101</t>
  </si>
  <si>
    <t xml:space="preserve"> Muusikakool</t>
  </si>
  <si>
    <t xml:space="preserve">    Sõidukite ülapidamiskulud (isiklik sõiduauto)</t>
  </si>
  <si>
    <t>095102</t>
  </si>
  <si>
    <t xml:space="preserve"> Arvlemised - huvikoolide eest</t>
  </si>
  <si>
    <t>095104</t>
  </si>
  <si>
    <t xml:space="preserve"> Noorte huviharidus ja huvitegevus</t>
  </si>
  <si>
    <t xml:space="preserve">     Toetused</t>
  </si>
  <si>
    <t>095103</t>
  </si>
  <si>
    <t>Tabivere Huvikool</t>
  </si>
  <si>
    <t xml:space="preserve">09600           </t>
  </si>
  <si>
    <t xml:space="preserve"> Koolitransport</t>
  </si>
  <si>
    <t>096011</t>
  </si>
  <si>
    <t>Koolitoit Kõrveküla PK</t>
  </si>
  <si>
    <t xml:space="preserve">    Majandamiskulud (köökide otsekulud)</t>
  </si>
  <si>
    <t xml:space="preserve">   Kinnistute, hoonete ja ruumide majand.kulud kokku </t>
  </si>
  <si>
    <t>096012</t>
  </si>
  <si>
    <t>Koolitoit Lähte ÜG</t>
  </si>
  <si>
    <t xml:space="preserve">   Majandamiskulud </t>
  </si>
  <si>
    <t xml:space="preserve"> *küte</t>
  </si>
  <si>
    <t xml:space="preserve"> *korrashoiumaterjalid</t>
  </si>
  <si>
    <t xml:space="preserve">  Inventari kulud ja hooldus</t>
  </si>
  <si>
    <t xml:space="preserve">  Toiduained</t>
  </si>
  <si>
    <t xml:space="preserve">  Meditsiinikulud ja hügieenitarbed</t>
  </si>
  <si>
    <t>096013</t>
  </si>
  <si>
    <t>Koolitoit Laeva</t>
  </si>
  <si>
    <t xml:space="preserve">    Majandamiskulud </t>
  </si>
  <si>
    <t>096014</t>
  </si>
  <si>
    <t>Koolitoit Tabivere</t>
  </si>
  <si>
    <t xml:space="preserve">     Eririietus</t>
  </si>
  <si>
    <t>096015</t>
  </si>
  <si>
    <t>096021</t>
  </si>
  <si>
    <t>Lähte ÜG õpilaskodu</t>
  </si>
  <si>
    <t xml:space="preserve">    *remondimaterjalid</t>
  </si>
  <si>
    <t xml:space="preserve">   * remonditeenus</t>
  </si>
  <si>
    <t xml:space="preserve">    Masinate ja seadmete maj.</t>
  </si>
  <si>
    <t>096022</t>
  </si>
  <si>
    <t>Õpilaskodu kulud - teistele OV-dele</t>
  </si>
  <si>
    <t xml:space="preserve">   tegevustoetused</t>
  </si>
  <si>
    <t>096023</t>
  </si>
  <si>
    <t xml:space="preserve">10              </t>
  </si>
  <si>
    <t xml:space="preserve"> SOTSIAALNE KAITSE</t>
  </si>
  <si>
    <t xml:space="preserve">4133            </t>
  </si>
  <si>
    <t xml:space="preserve">    Toetused puuetega inim.-tele ja nende hooldajatele</t>
  </si>
  <si>
    <t xml:space="preserve">4137            </t>
  </si>
  <si>
    <t xml:space="preserve">    Puudega inimese hooldaja - sots.maks</t>
  </si>
  <si>
    <t xml:space="preserve">101212          </t>
  </si>
  <si>
    <t xml:space="preserve">    Sotsiaalmaks</t>
  </si>
  <si>
    <t xml:space="preserve">   Toetused puuetega lastele</t>
  </si>
  <si>
    <t>101215</t>
  </si>
  <si>
    <t xml:space="preserve">   Invavahendid ja transport (puue)</t>
  </si>
  <si>
    <t xml:space="preserve">101216          </t>
  </si>
  <si>
    <t xml:space="preserve">    Hapniku (elektri) kompensatsioon</t>
  </si>
  <si>
    <t xml:space="preserve">101217          </t>
  </si>
  <si>
    <t xml:space="preserve">4138            </t>
  </si>
  <si>
    <t xml:space="preserve">   Viipekeele tõlgi toetus</t>
  </si>
  <si>
    <t>101218</t>
  </si>
  <si>
    <t>Muud teenused puuetega in-kodu kohandamine</t>
  </si>
  <si>
    <t>1012192</t>
  </si>
  <si>
    <t xml:space="preserve">Päevakeskus (Tabivere ja Maarja) </t>
  </si>
  <si>
    <t xml:space="preserve">    Majandamiskulud  </t>
  </si>
  <si>
    <t xml:space="preserve"> * muud</t>
  </si>
  <si>
    <t xml:space="preserve">   Sotsiaalteenused</t>
  </si>
  <si>
    <t>1012191</t>
  </si>
  <si>
    <t>Pikaajaline kaitstud töö teenus</t>
  </si>
  <si>
    <t>    Õppevahendid </t>
  </si>
  <si>
    <t xml:space="preserve"> Eakate hooldekodud  (ostetud teenus)</t>
  </si>
  <si>
    <t xml:space="preserve">102001          </t>
  </si>
  <si>
    <t xml:space="preserve">    Sotsiaalteenused</t>
  </si>
  <si>
    <t>Tabivere hooldekodu (suletud)</t>
  </si>
  <si>
    <t xml:space="preserve">10201           </t>
  </si>
  <si>
    <t xml:space="preserve"> Muu  eakatele sotsiaalne kaitse</t>
  </si>
  <si>
    <t xml:space="preserve">102012          </t>
  </si>
  <si>
    <t>Asendus- ja järelhooldus (lapsed)</t>
  </si>
  <si>
    <t xml:space="preserve">10402           </t>
  </si>
  <si>
    <t xml:space="preserve"> Muud perekondade ja laste sotsiaalne kaitse</t>
  </si>
  <si>
    <t xml:space="preserve">10701           </t>
  </si>
  <si>
    <t xml:space="preserve"> Riiklik toimetulekutoetus </t>
  </si>
  <si>
    <t xml:space="preserve">107011         </t>
  </si>
  <si>
    <t xml:space="preserve"> Toimetulekutoetus ja täiendavad sots.toetused</t>
  </si>
  <si>
    <t>10700</t>
  </si>
  <si>
    <t>Riskirühmade sotsiaalhoolekande asutused (täiskasvanud)</t>
  </si>
  <si>
    <t xml:space="preserve">10900           </t>
  </si>
  <si>
    <t xml:space="preserve"> Muu sotsiaalne kaitse </t>
  </si>
  <si>
    <t xml:space="preserve">10900 1         </t>
  </si>
  <si>
    <t>Sotsiaalse kaitse haldus kokku sh.</t>
  </si>
  <si>
    <t>Majandamiskulud</t>
  </si>
  <si>
    <t xml:space="preserve">109003          </t>
  </si>
  <si>
    <t xml:space="preserve"> Kriisiabi</t>
  </si>
  <si>
    <t>109004</t>
  </si>
  <si>
    <t>PÕHITEGEVUSE  KULUD KOKKU</t>
  </si>
  <si>
    <t>Põhitegevuse tulem</t>
  </si>
  <si>
    <t>III</t>
  </si>
  <si>
    <t>INVESTEERIMISTEGEVUS</t>
  </si>
  <si>
    <t>Põhivara soetuseks saadav sihtfin.sh</t>
  </si>
  <si>
    <t>riigilt lisa investeeringuteks</t>
  </si>
  <si>
    <t>04</t>
  </si>
  <si>
    <t>06</t>
  </si>
  <si>
    <t>09</t>
  </si>
  <si>
    <t>Tabivere kool</t>
  </si>
  <si>
    <t xml:space="preserve">Kuusisoo tee, </t>
  </si>
  <si>
    <t>05</t>
  </si>
  <si>
    <t>Jäätmemajandus</t>
  </si>
  <si>
    <t>Hajaasustuse programm</t>
  </si>
  <si>
    <t>08</t>
  </si>
  <si>
    <t>terviserajad, kultuurimin.</t>
  </si>
  <si>
    <t>Tooni küla veetrass</t>
  </si>
  <si>
    <t>Karjamõisa tee (Äksi)</t>
  </si>
  <si>
    <t>Piiri küla veetrass</t>
  </si>
  <si>
    <t>Tooni küla mänguväljak</t>
  </si>
  <si>
    <t>Vallamaja hoone energiatõhususe parandamine</t>
  </si>
  <si>
    <t>Raadi jalgpalliväljak</t>
  </si>
  <si>
    <t>Põhivara soetuseks antav sihtfin. sh.</t>
  </si>
  <si>
    <t>Raadi SA laenu tagasimakse</t>
  </si>
  <si>
    <t>Rattaringlus</t>
  </si>
  <si>
    <t>10</t>
  </si>
  <si>
    <t>Agrenska toetus</t>
  </si>
  <si>
    <t>Põhivara müük</t>
  </si>
  <si>
    <t>Põhivara soetus, renoveerimine (-)</t>
  </si>
  <si>
    <t>Emajõe Veevärgi aktsiate ostmine</t>
  </si>
  <si>
    <t>01112</t>
  </si>
  <si>
    <t>04510</t>
  </si>
  <si>
    <t>Majandus (teed)</t>
  </si>
  <si>
    <t>045102</t>
  </si>
  <si>
    <t>Kaasav eelarve</t>
  </si>
  <si>
    <t>Vahi tänav</t>
  </si>
  <si>
    <t>Kergliiklusteed</t>
  </si>
  <si>
    <t>Kooli tn Kõrveküla</t>
  </si>
  <si>
    <t>Kuusisoo tee</t>
  </si>
  <si>
    <t>Lasteaia tn Kõrvekülas</t>
  </si>
  <si>
    <t>Viinapruuli tn</t>
  </si>
  <si>
    <t>Raadiraja tn</t>
  </si>
  <si>
    <t>Ermi tn</t>
  </si>
  <si>
    <t>Hariduse tn</t>
  </si>
  <si>
    <t>Vasula 12</t>
  </si>
  <si>
    <t>Laeva kergliiklustee</t>
  </si>
  <si>
    <t>04900</t>
  </si>
  <si>
    <t>Tabivere tööstusala</t>
  </si>
  <si>
    <t>08103</t>
  </si>
  <si>
    <t xml:space="preserve">Mänguväljakud </t>
  </si>
  <si>
    <t>05100</t>
  </si>
  <si>
    <t>06300</t>
  </si>
  <si>
    <t>Tuletõrje veevarustus</t>
  </si>
  <si>
    <t>06400</t>
  </si>
  <si>
    <t>Tänavavalgustus</t>
  </si>
  <si>
    <t>Teemaade soetamine</t>
  </si>
  <si>
    <t>08202</t>
  </si>
  <si>
    <t>Tammistu  rahvamaja rekonstrueerimine</t>
  </si>
  <si>
    <t>Kõrveküla spordihoone</t>
  </si>
  <si>
    <t xml:space="preserve">Kõrveküla põhikooli spordihoone </t>
  </si>
  <si>
    <t>Terviserajad (traktor)</t>
  </si>
  <si>
    <t xml:space="preserve">Terviserajad </t>
  </si>
  <si>
    <t>Nõlvakaare tänav</t>
  </si>
  <si>
    <t>09110</t>
  </si>
  <si>
    <t>Laeva LA katus/küttesüsteem</t>
  </si>
  <si>
    <t>Maarja Lasteaed</t>
  </si>
  <si>
    <t>Tabivere kool sisustus</t>
  </si>
  <si>
    <t>Kõrveküla kool</t>
  </si>
  <si>
    <t xml:space="preserve">Maarja-Magdaleena Põhikool </t>
  </si>
  <si>
    <t xml:space="preserve">Kõrveküla staadion </t>
  </si>
  <si>
    <t>Lähte staadion ja kooli väliala (projekteerimine)</t>
  </si>
  <si>
    <t>Lähte Ühisgümnaasium, projekt</t>
  </si>
  <si>
    <t>Laeva kool</t>
  </si>
  <si>
    <t>Lähte kool, maarja kool generaatori sisendid</t>
  </si>
  <si>
    <t>10200</t>
  </si>
  <si>
    <t>Generaatorid 2tk</t>
  </si>
  <si>
    <t>Tankla</t>
  </si>
  <si>
    <t>Laeva päästedepoo rek.</t>
  </si>
  <si>
    <t>Maarja laululava katuse rek.</t>
  </si>
  <si>
    <t>Kõrveküla kooli tn.-Kõivusalu-Pöialpoisi matkarajad</t>
  </si>
  <si>
    <t>Toominga tn. juurdepääs</t>
  </si>
  <si>
    <t>Vahi Keskuse tee kõnnitee, Pargi tn. pikendus</t>
  </si>
  <si>
    <t>Kõrveküla Pihlaka tänav</t>
  </si>
  <si>
    <t>Kõrveküla muusikakool</t>
  </si>
  <si>
    <t xml:space="preserve">38208           </t>
  </si>
  <si>
    <t>38208</t>
  </si>
  <si>
    <t>Finatstulud  (+)</t>
  </si>
  <si>
    <t xml:space="preserve">01700           </t>
  </si>
  <si>
    <t>Finatskulud  (-)</t>
  </si>
  <si>
    <t>INVESTEERIMISTEGEVUS KOKKU</t>
  </si>
  <si>
    <t>EELARVE TULEM (ülej.(+), puuduj. (-))</t>
  </si>
  <si>
    <t>IV</t>
  </si>
  <si>
    <t>FINANTSEERIMISTEGEVUS</t>
  </si>
  <si>
    <t>2585</t>
  </si>
  <si>
    <t>Kohustuste võtmine (+)</t>
  </si>
  <si>
    <t>2586</t>
  </si>
  <si>
    <t>Kohustuste tasumine (-)</t>
  </si>
  <si>
    <t>FINANTSEERIMISTEGEVUS KOKKU</t>
  </si>
  <si>
    <t>V</t>
  </si>
  <si>
    <t>LIKVIIDSETE VARADE MUUTUS:</t>
  </si>
  <si>
    <t>nõete ja kohustuste muutus tekkepõhiselt</t>
  </si>
  <si>
    <t>EELARVE TASAKAAL</t>
  </si>
  <si>
    <t xml:space="preserve"> *laagri osalustasu</t>
  </si>
  <si>
    <t xml:space="preserve"> *rakett 69</t>
  </si>
  <si>
    <t>Eelarve eelõu 2022</t>
  </si>
  <si>
    <t xml:space="preserve">Raadi jalpalliväljak </t>
  </si>
  <si>
    <t>SA Kredex</t>
  </si>
  <si>
    <t xml:space="preserve">  *õppemaks Maarja</t>
  </si>
  <si>
    <t xml:space="preserve"> *muud tulud haridusalasest tegevusest</t>
  </si>
  <si>
    <t>Grossi</t>
  </si>
  <si>
    <t>Mõisa pst ja Kõrveküla-Tartu tee ristmin</t>
  </si>
  <si>
    <t>04512</t>
  </si>
  <si>
    <t xml:space="preserve">  Ühistransport</t>
  </si>
  <si>
    <t xml:space="preserve">II lisaeelarve </t>
  </si>
  <si>
    <t>EA+II lisaeelarve</t>
  </si>
  <si>
    <t>    *moodulite rent</t>
  </si>
  <si>
    <t>likv-fintegevus-muu finantseerimine</t>
  </si>
  <si>
    <t>1511</t>
  </si>
  <si>
    <t xml:space="preserve">   * korrashoiumaterjalid, lisaseadm. ja tarvikud</t>
  </si>
  <si>
    <t xml:space="preserve"> *valve</t>
  </si>
  <si>
    <t xml:space="preserve"> * küte</t>
  </si>
  <si>
    <t xml:space="preserve">    Muud kulud (riigilõiv)</t>
  </si>
  <si>
    <t xml:space="preserve">    Muud majandamiskulud</t>
  </si>
  <si>
    <t xml:space="preserve">    Muud majandamiskulud </t>
  </si>
  <si>
    <t>2022 eelarve II lugemine 16.02.22</t>
  </si>
  <si>
    <t xml:space="preserve"> *toiduraha Laeva-lapsevanem</t>
  </si>
  <si>
    <t xml:space="preserve"> *toiduraha Tabivere LA-lapsevanem</t>
  </si>
  <si>
    <t xml:space="preserve"> *toiduraha Maarja LA-lapsevanem</t>
  </si>
  <si>
    <t xml:space="preserve"> *toiduraha Ripsik+Nupsik-lapsevanem</t>
  </si>
  <si>
    <t xml:space="preserve"> *õppemaks Kõrveküla LA+Raadi LH</t>
  </si>
  <si>
    <t xml:space="preserve"> * Laeva spordihoone-renditulud</t>
  </si>
  <si>
    <t xml:space="preserve"> * Tabivere SH-renditulud</t>
  </si>
  <si>
    <t xml:space="preserve"> * Kõrveküla kooli SH-renditulud</t>
  </si>
  <si>
    <t xml:space="preserve"> *Päevakeskuse muu tulu (Starmani kasutus, ravimid, omatoodete müük)</t>
  </si>
  <si>
    <t xml:space="preserve"> *Toetatud elamise teenus (riik) SKA</t>
  </si>
  <si>
    <t xml:space="preserve">  *Päevakeskuse tulu (riik) SKA</t>
  </si>
  <si>
    <t xml:space="preserve"> *Töötamise toetamine (riik) SKA</t>
  </si>
  <si>
    <t xml:space="preserve">  *Majutusteenused sotsiaalkorterites-omaosalus</t>
  </si>
  <si>
    <t xml:space="preserve"> *Pikaajaline kaitstud töö (riik) stipendium+pearaha SKA</t>
  </si>
  <si>
    <t xml:space="preserve"> *tugiisiku+lapsehoiu teenus (riik) SKA</t>
  </si>
  <si>
    <t xml:space="preserve"> *õppemaks Laeva (erand 11kuud)</t>
  </si>
  <si>
    <t xml:space="preserve"> *toiduraha Kõrveküla LA+Raadi LH-lapsevanem</t>
  </si>
  <si>
    <t>* muu tulud (Spordikool laagrid)</t>
  </si>
  <si>
    <t>Haridusmin</t>
  </si>
  <si>
    <t>35000007</t>
  </si>
  <si>
    <t>Majandus ja Kom. Min</t>
  </si>
  <si>
    <t>35000011</t>
  </si>
  <si>
    <t>val.sektor (kulka+töötukassa jne)</t>
  </si>
  <si>
    <t>valitsussektori SA, MTÜ (treenerite töötasu) EAS, KIK, Innove</t>
  </si>
  <si>
    <t xml:space="preserve"> Mittesihtotstarbelised toetused= tas+toetusfond</t>
  </si>
  <si>
    <t>Kultuuriministeerium</t>
  </si>
  <si>
    <t>ülek=1PA62%+2PA 38%</t>
  </si>
  <si>
    <t xml:space="preserve">   toiduained ja toitlustusteenused</t>
  </si>
  <si>
    <t xml:space="preserve">   Antud toetused</t>
  </si>
  <si>
    <t>1.lisa 30.06.22seis</t>
  </si>
  <si>
    <t>EA+1lisa2022a</t>
  </si>
  <si>
    <t>* elekter</t>
  </si>
  <si>
    <t xml:space="preserve">   * muud kulud</t>
  </si>
  <si>
    <t xml:space="preserve">   Kodukohandamise teenus puuetega inimestele</t>
  </si>
  <si>
    <t xml:space="preserve"> Majandamiskulud</t>
  </si>
  <si>
    <t>volik otsus</t>
  </si>
  <si>
    <t>Lähte Noortekeskus</t>
  </si>
  <si>
    <t xml:space="preserve">Lähte jääväljak Ietapp </t>
  </si>
  <si>
    <t xml:space="preserve">Lähte jääväljak+kate IIetapp </t>
  </si>
  <si>
    <t>Rähni planeeringu tn valgustus</t>
  </si>
  <si>
    <t>põhiprojekt Palmpro</t>
  </si>
  <si>
    <t>Maa ost-Pöialpoisi tn krunt</t>
  </si>
  <si>
    <t>2022a ei edasi 2023</t>
  </si>
  <si>
    <t>proj KaussArhidekt (eelproj 144t +põhiproj 205t)</t>
  </si>
  <si>
    <t>066051</t>
  </si>
  <si>
    <t>07210</t>
  </si>
  <si>
    <t>0810202</t>
  </si>
  <si>
    <t>0810204</t>
  </si>
  <si>
    <t>0810205</t>
  </si>
  <si>
    <t>0810206</t>
  </si>
  <si>
    <t>0810207</t>
  </si>
  <si>
    <t>0810208</t>
  </si>
  <si>
    <t>0810213</t>
  </si>
  <si>
    <t>0810214</t>
  </si>
  <si>
    <t>0820101</t>
  </si>
  <si>
    <t xml:space="preserve">0820102          </t>
  </si>
  <si>
    <t xml:space="preserve">0820103          </t>
  </si>
  <si>
    <t xml:space="preserve">0820104          </t>
  </si>
  <si>
    <t xml:space="preserve">  *remonditeenus</t>
  </si>
  <si>
    <t xml:space="preserve">0820105          </t>
  </si>
  <si>
    <t xml:space="preserve">0820106          </t>
  </si>
  <si>
    <t xml:space="preserve">0820107          </t>
  </si>
  <si>
    <t>0820108</t>
  </si>
  <si>
    <t>0820109</t>
  </si>
  <si>
    <t>0820111</t>
  </si>
  <si>
    <t>082024</t>
  </si>
  <si>
    <t xml:space="preserve"> Lähte LA Kiisupere</t>
  </si>
  <si>
    <t xml:space="preserve">0911004          </t>
  </si>
  <si>
    <t>sh 2227 infotehn kulu 5514</t>
  </si>
  <si>
    <t>0911006</t>
  </si>
  <si>
    <t xml:space="preserve">0911002          </t>
  </si>
  <si>
    <t xml:space="preserve">0911001          </t>
  </si>
  <si>
    <t>911007</t>
  </si>
  <si>
    <t>0911008</t>
  </si>
  <si>
    <t>0911009</t>
  </si>
  <si>
    <t>Maarja Magdaleena LA</t>
  </si>
  <si>
    <t xml:space="preserve">0921201          </t>
  </si>
  <si>
    <t xml:space="preserve">0921202          </t>
  </si>
  <si>
    <t>0921205</t>
  </si>
  <si>
    <t>0921204</t>
  </si>
  <si>
    <t>0921206</t>
  </si>
  <si>
    <t>0921207</t>
  </si>
  <si>
    <t>0921208</t>
  </si>
  <si>
    <t>0921209</t>
  </si>
  <si>
    <t>0921210</t>
  </si>
  <si>
    <t>0921211</t>
  </si>
  <si>
    <t>0921212</t>
  </si>
  <si>
    <t>0921213</t>
  </si>
  <si>
    <t>0921214</t>
  </si>
  <si>
    <t>0921216</t>
  </si>
  <si>
    <t>0921217</t>
  </si>
  <si>
    <t>0921218</t>
  </si>
  <si>
    <t>Koolitoit Maarja-Magdaleena PK</t>
  </si>
  <si>
    <t>tulu31700 riik</t>
  </si>
  <si>
    <t xml:space="preserve"> * korrashoiu ja rem materjalid</t>
  </si>
  <si>
    <t>Kriisiks valmisolek-vahendid</t>
  </si>
  <si>
    <t>Piirissaare</t>
  </si>
  <si>
    <t>Multifunktsionaalne traktor-tõstuk</t>
  </si>
  <si>
    <t>2023aastasse</t>
  </si>
  <si>
    <t>Veevarustus (sadevee projekt)</t>
  </si>
  <si>
    <t>2022a hankele ei tulnud pakkumisi, uus hange 2023a</t>
  </si>
  <si>
    <t>Lähte spordihoone juurdeehitus</t>
  </si>
  <si>
    <t>2022a-sse jääb põhiprojekt, ehitus 2023a</t>
  </si>
  <si>
    <t>uus hange 2022a 4kv+ehitus 2023a</t>
  </si>
  <si>
    <t>2022a jääb projekteerimine, ehitus 2024+2025=6,3milj, võimalik toetus 1,6milj</t>
  </si>
  <si>
    <t>2023aastasse, uus taotlus, vajadus lisainfot</t>
  </si>
  <si>
    <t>märkused eelarve ridade kohta</t>
  </si>
  <si>
    <t>valla buss</t>
  </si>
  <si>
    <t>eks arv muutus+trükkimise kallinemine</t>
  </si>
  <si>
    <t>hetkel pole proj</t>
  </si>
  <si>
    <t>* üür ja rent (Päästeametis rent??+ KÜ tuuliku 9)</t>
  </si>
  <si>
    <t>10702</t>
  </si>
  <si>
    <t>edasi 2023a</t>
  </si>
  <si>
    <t>Hea hariduse fond</t>
  </si>
  <si>
    <t>Opel Vivaro ost liisingust välja jääk</t>
  </si>
  <si>
    <t>Dacia Logan ost liisingust välja</t>
  </si>
  <si>
    <t>hange 2022</t>
  </si>
  <si>
    <t>volik otsus on projekti taotluses, jääb 2023a</t>
  </si>
  <si>
    <t>toetuse taotlus2022</t>
  </si>
  <si>
    <t>Veevärgi omaosaolus</t>
  </si>
  <si>
    <t>ok</t>
  </si>
  <si>
    <t>1 uus rühm 3töötajat 2õp+1abi</t>
  </si>
  <si>
    <t>PRIA piima ja puuviljatoetus</t>
  </si>
  <si>
    <t>projektid Rmajad</t>
  </si>
  <si>
    <t>projekt kool</t>
  </si>
  <si>
    <t>projektid kool</t>
  </si>
  <si>
    <t>muud saad toet tegevuskuludeksalg</t>
  </si>
  <si>
    <t>lisaEA</t>
  </si>
  <si>
    <t>Muu sotsiaalsete riskirühmade kaitse (Ukraina)</t>
  </si>
  <si>
    <t>riik kompenseerib</t>
  </si>
  <si>
    <t>siin -märk ära ja +märk juurde</t>
  </si>
  <si>
    <t>Astelpaju läbimurde maa Puhtaleiva kergtee aluse maa ost</t>
  </si>
  <si>
    <t>KOKKU</t>
  </si>
  <si>
    <t>Peretoetused</t>
  </si>
  <si>
    <t>Pmen 13000</t>
  </si>
  <si>
    <t>NB küsida tööstusgaas ja majapidamisgaas ballonide rent kumbagi 1tk?</t>
  </si>
  <si>
    <t>1000 veel kulka 2.lisaeelarve</t>
  </si>
  <si>
    <t>kokku toiduraha322007</t>
  </si>
  <si>
    <t>kokku kohatasud322008</t>
  </si>
  <si>
    <t>322001</t>
  </si>
  <si>
    <t>322002</t>
  </si>
  <si>
    <t>322009</t>
  </si>
  <si>
    <t>322003</t>
  </si>
  <si>
    <t>322007</t>
  </si>
  <si>
    <t>322006</t>
  </si>
  <si>
    <t>322004</t>
  </si>
  <si>
    <t>322008</t>
  </si>
  <si>
    <t>322005</t>
  </si>
  <si>
    <t>322010</t>
  </si>
  <si>
    <t>322011</t>
  </si>
  <si>
    <t>322012</t>
  </si>
  <si>
    <t>322017</t>
  </si>
  <si>
    <t>32211</t>
  </si>
  <si>
    <t>32212</t>
  </si>
  <si>
    <t>32213</t>
  </si>
  <si>
    <t>32215</t>
  </si>
  <si>
    <t>32216</t>
  </si>
  <si>
    <t>32217</t>
  </si>
  <si>
    <t>322404</t>
  </si>
  <si>
    <t>322405</t>
  </si>
  <si>
    <t>322407</t>
  </si>
  <si>
    <t>322406</t>
  </si>
  <si>
    <t>322408</t>
  </si>
  <si>
    <t>322409</t>
  </si>
  <si>
    <t>322411</t>
  </si>
  <si>
    <t>35000005</t>
  </si>
  <si>
    <t>Keskkonnamin</t>
  </si>
  <si>
    <t xml:space="preserve">0810201          </t>
  </si>
  <si>
    <t>2023EA projekt</t>
  </si>
  <si>
    <t>142last</t>
  </si>
  <si>
    <t xml:space="preserve"> *üür - Lähte ÜG õpilaskodu muu majutus (suvised laagrid)</t>
  </si>
  <si>
    <t xml:space="preserve"> *Tabivere Huvikooli õppemaks-lapsevanem pill 30+ülej 15eur</t>
  </si>
  <si>
    <t>114last</t>
  </si>
  <si>
    <t>408last</t>
  </si>
  <si>
    <t>248last</t>
  </si>
  <si>
    <t>30last</t>
  </si>
  <si>
    <t>95last</t>
  </si>
  <si>
    <t>46last</t>
  </si>
  <si>
    <t>suvised laagrid, oma töötajad</t>
  </si>
  <si>
    <t>480last</t>
  </si>
  <si>
    <t>Spordikooli treenerite tasude komp riik, uus süsteem</t>
  </si>
  <si>
    <t>istungid Äksis</t>
  </si>
  <si>
    <t>11istungit*200+komisjonide ühised 2x</t>
  </si>
  <si>
    <t>gaasiküte, tõus 7x</t>
  </si>
  <si>
    <t>tõus 2,5x</t>
  </si>
  <si>
    <t>märts valimised</t>
  </si>
  <si>
    <t>Laeva 1500</t>
  </si>
  <si>
    <t>Laeva side</t>
  </si>
  <si>
    <t>1 bussijuht</t>
  </si>
  <si>
    <t>1koolibussiring Lombi-Kõrveküla</t>
  </si>
  <si>
    <t>siin kogu sõidupargi 17tk GSM valveteenused 170*12</t>
  </si>
  <si>
    <t>see kulu on majanduse halduses</t>
  </si>
  <si>
    <t>Egle soov:Majoraadi parki puhkealade varjualused  5000+</t>
  </si>
  <si>
    <t>meie 100t+riik100t</t>
  </si>
  <si>
    <t>gaasiküte x7</t>
  </si>
  <si>
    <t>Endiselt ootame remonti Kõrveküla Spordihallis, sokli soojustamine, riietusruumide remont, katelde vahetus.</t>
  </si>
  <si>
    <t>tali, suvi, sügismängud-Valla osalused</t>
  </si>
  <si>
    <t>kaugküte Kommunaal gaas</t>
  </si>
  <si>
    <t>2 majahoidjat a800</t>
  </si>
  <si>
    <t>ukse vahetus-ettekirjutus tulekindel</t>
  </si>
  <si>
    <t>Kinema, el käidulep</t>
  </si>
  <si>
    <t>küttesüst läbipesu5000, kliima hooldused</t>
  </si>
  <si>
    <t xml:space="preserve">     Rajatiste majandamise kulud</t>
  </si>
  <si>
    <t>siin varem Cramo rent vibu..Spordikooli alla</t>
  </si>
  <si>
    <t>VW buss 2tk+isikliku hüvitis treenerid</t>
  </si>
  <si>
    <t>vibumatid, vibud jm</t>
  </si>
  <si>
    <t xml:space="preserve">    Eri ja vormiriietus</t>
  </si>
  <si>
    <t>Juht Agu+majandusValeeri+Toomas+17treenerit</t>
  </si>
  <si>
    <t>valla lapsed spordiklubides</t>
  </si>
  <si>
    <t>juht Anette+majahoidja</t>
  </si>
  <si>
    <t>maakütte kliimaseadme jne hooldus, rem</t>
  </si>
  <si>
    <t>transp200+auhinnad 300</t>
  </si>
  <si>
    <t>niidukite, jm veoks haagise ost 5000</t>
  </si>
  <si>
    <t>rajameister 1in</t>
  </si>
  <si>
    <t>majahoidja 1in</t>
  </si>
  <si>
    <t>maja kindlustustus Pkooliga koos</t>
  </si>
  <si>
    <t>staadioni hooldus</t>
  </si>
  <si>
    <t>transport, auhinnad</t>
  </si>
  <si>
    <t>juht+majahoidjad2= kokku 3in</t>
  </si>
  <si>
    <t>porivaibad</t>
  </si>
  <si>
    <t>PK eelarves</t>
  </si>
  <si>
    <t>niiduki hooldus</t>
  </si>
  <si>
    <t>Saali helitehnika</t>
  </si>
  <si>
    <t>Standard 11230+muud</t>
  </si>
  <si>
    <t>juht 1in</t>
  </si>
  <si>
    <t>õhk pumba soov-jahutuseks1800+1000muud</t>
  </si>
  <si>
    <t>osaleb ca 80noort</t>
  </si>
  <si>
    <t>Kultuurimaja eelarves</t>
  </si>
  <si>
    <t>Rmaja eelarves</t>
  </si>
  <si>
    <t>õueala atraktsioonide, miniarena,pumptracki ja rambi hooldus</t>
  </si>
  <si>
    <t>hõlmab endas igapäevased tegevusi, üritusi, väljasõite, noorte omaalgatue toetamist, koostööprojekte jms. See summa oleks okei, kui saame huviringide puhul arvestada ka huvihariduse lisarahaga.</t>
  </si>
  <si>
    <t>ca 70 noort</t>
  </si>
  <si>
    <t>õhk soojuspump-elektriküte</t>
  </si>
  <si>
    <t>2022 vedas projekti Karmen Kukk</t>
  </si>
  <si>
    <t>laagrikasvatajate koolitus, esmaabi2022</t>
  </si>
  <si>
    <t>töökindad jne</t>
  </si>
  <si>
    <t>maleva sõidukulud, meie transport, kütus</t>
  </si>
  <si>
    <t>Kultuuri ja kogukonna komisjoni ettepanek  100 000( koos Tartu 2024 -12500eur? Või ilma?</t>
  </si>
  <si>
    <t>mõned esinejate käsunduslep</t>
  </si>
  <si>
    <t>Tartu valla kultuuritöötajate 
inspiratsiooni- ja õppereis</t>
  </si>
  <si>
    <t>Voog Kultuur kodulehele+KM-de koduleht?</t>
  </si>
  <si>
    <t xml:space="preserve">    Muud mitmesugused majanduskulud Transport</t>
  </si>
  <si>
    <t>talgud</t>
  </si>
  <si>
    <t>laenutuste arv 13692, lugejaid 1003, külastusi 11406</t>
  </si>
  <si>
    <t>1 ühine välisreis  kogu raamatukogud 300eur 1 töötaja</t>
  </si>
  <si>
    <t>1x aastas põrandate süvapesu, vahatamine</t>
  </si>
  <si>
    <t>NB! Kultuuritöötajate riiklik miinimumpalk tõuseb 2023.a. 14,3%, st 1600 euroni.</t>
  </si>
  <si>
    <t>juht 1in+ Äksi koorijuht 0,3</t>
  </si>
  <si>
    <t>Loodusmaja kogu vesi?</t>
  </si>
  <si>
    <t>hoone majandamise kulud kõik külakeskuse eelarves, 1 maja</t>
  </si>
  <si>
    <t xml:space="preserve">   Õppevahendid sh mängud)</t>
  </si>
  <si>
    <t>mängud noorte tuppa</t>
  </si>
  <si>
    <t xml:space="preserve">juht 0,5 kohta </t>
  </si>
  <si>
    <t>gaasiküte</t>
  </si>
  <si>
    <t>KÜ Vedu 5 komm arved</t>
  </si>
  <si>
    <t>laenutusi aastas 25200, lugejaid 1100 NB kooliraamatukogu</t>
  </si>
  <si>
    <t>laenutusi aastas 300</t>
  </si>
  <si>
    <t>Soov muuta Vedu RK vähem, st 0,4+ 0,6 Kõrvekülas (praegu Vedu0,6+KÕ0,4</t>
  </si>
  <si>
    <t>juht 0,4kohta</t>
  </si>
  <si>
    <t>0,6 siis kulu 11551</t>
  </si>
  <si>
    <t>toolide puhastus</t>
  </si>
  <si>
    <t>pakiautom hooldus</t>
  </si>
  <si>
    <t>vabariikliku maaraamatukoguhoidjate suveseminari korraldamine</t>
  </si>
  <si>
    <t>2023.a. riik, keskmine prognoositav personalikulu tõus 8% mis selgub riigieelarve vastuvõtmisel</t>
  </si>
  <si>
    <t>juht +3spets=4</t>
  </si>
  <si>
    <t>2022a kulu</t>
  </si>
  <si>
    <t>koos LA hoones Raamatukogu+Vald+Pkool+LA</t>
  </si>
  <si>
    <t>koolisöökla läheb PK alla</t>
  </si>
  <si>
    <t>juht 0,75+koristaja 0,2=0,95</t>
  </si>
  <si>
    <t>hoone kulud PK eelarves</t>
  </si>
  <si>
    <t>laenutusi 16000aastas, lugejaid 440</t>
  </si>
  <si>
    <t>1juht+1tööline= 2in</t>
  </si>
  <si>
    <t>1juht</t>
  </si>
  <si>
    <t>ahjuküte juht kütab ka nädalavahetustel talvel</t>
  </si>
  <si>
    <t>kust puud??????, ei leidnud 2022a kuludest</t>
  </si>
  <si>
    <t>laenutusi 4400aastas, lugejaid 97</t>
  </si>
  <si>
    <t>RK asub üüripinnal. Kas üüri ka peab maksma?</t>
  </si>
  <si>
    <t xml:space="preserve"> * kindlustusmaksed</t>
  </si>
  <si>
    <t>lauamängud</t>
  </si>
  <si>
    <t>lugejaid 408 aastas, laenutusi 420</t>
  </si>
  <si>
    <t xml:space="preserve">juht 0,6 kohta </t>
  </si>
  <si>
    <t>kogu maja kindlustus</t>
  </si>
  <si>
    <t>vallavalitsuse all kogu maja kulud</t>
  </si>
  <si>
    <t>piirkonna elanikke 400, rahvamaja ringe 6</t>
  </si>
  <si>
    <t>maaküte elekter</t>
  </si>
  <si>
    <t>(sellest juhatajal 230€ täienduskoolituse III ja IV osa, 150€ suvekool)</t>
  </si>
  <si>
    <t>neli välisust koos paigaldusega( praegu on ees siseuksed, millelt värv maas, on pundnud ning vajunud- tuul puhub sisse), väliskoridori seinaosa on pikalt katki, tualeti ukse juures seinas on suur auk.</t>
  </si>
  <si>
    <t>Rahvamajade ühishange projektor+ekraan 7000</t>
  </si>
  <si>
    <t>Naiste rahvarõiva pluuside õmblemine</t>
  </si>
  <si>
    <t>omatulu plaan 2000</t>
  </si>
  <si>
    <t>mälumängude etapid, aastapäev, jaanipäev, rahvamajade päev, laste jõulupidu+tasulised üritused ca5-6 tk</t>
  </si>
  <si>
    <t>piirkonna elanikke 700, rahvamaja ringe 8</t>
  </si>
  <si>
    <t>puukatlaga lokaalküte= kogudus</t>
  </si>
  <si>
    <t>kas vaja küttepuid osta?</t>
  </si>
  <si>
    <t>vabaõhulava ümbrus</t>
  </si>
  <si>
    <t>EELK , kas see leping muutub?</t>
  </si>
  <si>
    <t>makseterminal</t>
  </si>
  <si>
    <t>Rahvamajade ühishange projektor+ribakõlar,  lisad,  paigaldus 7000; toolid- 40x50.00 2000; peegel 300 kangad lavale 300, lipp200</t>
  </si>
  <si>
    <t>traditsioonilised suveüritused 3x 3000 = 9000; turvateenus 3x 200 = 600; liikluse ümberkorraldus 3x250 = 750; traditsioonilised siseüritused 6x800 = 4800; tellitud kontsert 1x 1500; tellitud lasteetendused 2x300=  600; EAS tasud 300; koduleht 300; salvestuskulud (fonod) 500; projekti kaasfinants 350, muud kulud 1000</t>
  </si>
  <si>
    <t>piirkonna elanikke 900, rahvamaja ringe 4</t>
  </si>
  <si>
    <t>omatulu plaan 27500</t>
  </si>
  <si>
    <t>käidukorraldus siin-muutus</t>
  </si>
  <si>
    <t>uue valvesüsteemi soetus? G4S valve 60eur kuus=praegu 840</t>
  </si>
  <si>
    <t xml:space="preserve">Radiaatorite soojusregulaatorite vahetus, välitrepi remont,katuse remont, vihmavee toru remont </t>
  </si>
  <si>
    <t>lipuplatsi, õuelillede hooldus</t>
  </si>
  <si>
    <t>sisustuse ja sanitaartehnika rent, nõud, hoiukastid, laudlinad, toolid, lauad, mootoriga rullekraan, Ühishange=projektor7000+dekoratsioonid, rekvisiidid</t>
  </si>
  <si>
    <t>3uut töötajat</t>
  </si>
  <si>
    <t>vent süsteemi hooldus</t>
  </si>
  <si>
    <t>piirkonna elanikke 400, rahvamaja ringe 2</t>
  </si>
  <si>
    <t>muruniiduki kütus jne ise niidavad</t>
  </si>
  <si>
    <t>lauakatted, kööginõud, dekoratsioonid+ühishange projektor+ekraan 7000</t>
  </si>
  <si>
    <t>soojuspumba vahetus/remont (arvestades sellega, et soojuspump on väljavahetamata ja ei kannata üle -15 kraadi, arvestan juba soojuspumba remondi raha), ventilatsioonihooldus</t>
  </si>
  <si>
    <t xml:space="preserve">    Õppevahendid, mängud</t>
  </si>
  <si>
    <t>UUS! noorte tuba MTÜ-ga leping nn Noortekeskuse mõttes-sisseostu teenus</t>
  </si>
  <si>
    <t xml:space="preserve"> 2 väljasõitu eakad+noored</t>
  </si>
  <si>
    <t>rohkelt üritusi -tasud esinejatele ja sellega kaasnevad kulutused nagu lavarent, tehnika- ja valgustusrent, lisaseadmed tarvikud ürituseks
Jaanipäev (4000€) kindel üritus
Külapäev (1600€) kindel üritus
Jõulupidu (2200€) kindel üritus
Vähemalt 5 teatrietendust (2000€) mõned kindlasti
Viis tantsupidu (6000€) mõned kindlasti 
Vastlapäev (300€) kindel üritus
Fotokonkurss (100€) kindel üritus
Adventite tähistamine (100€) kindel ürtus
Koduste laste jõulupidu (200€) kindel üritus
Vanavanemate päev (1100€) kindel üritus
Talgud (150€)
Liikumisaasta (300€)                                                                                                                                                                                                                                                                                                                                                                      
Fienta.com ja autoriteühingukulud on sissearvestatud+ valla üritused 1000</t>
  </si>
  <si>
    <t>omatulu plaan 5550</t>
  </si>
  <si>
    <t>ühishankega hind</t>
  </si>
  <si>
    <t>kallinemine ei kata enam kulusid</t>
  </si>
  <si>
    <t>elektriküte</t>
  </si>
  <si>
    <t>4x48</t>
  </si>
  <si>
    <t>6000eksemplari, toimetaja Ekes OÜ, trükk, küljendus Ecoprint</t>
  </si>
  <si>
    <t>Estrit!</t>
  </si>
  <si>
    <t>Kultuurijuht</t>
  </si>
  <si>
    <t>1inimene</t>
  </si>
  <si>
    <t>Muu vaba aeg, kultuuri haldus</t>
  </si>
  <si>
    <t>Spoku hooldus 360kv x4</t>
  </si>
  <si>
    <t>teine tegevusala-ülevallaline kultuur</t>
  </si>
  <si>
    <t>laenutusi aastas 744, külastajaid 1800</t>
  </si>
  <si>
    <t>laenutusi aastas 4300, külastajaid 2000</t>
  </si>
  <si>
    <t xml:space="preserve">põrandate vahatamine </t>
  </si>
  <si>
    <t>erinevad väikesed parandused</t>
  </si>
  <si>
    <t>SA RAADI</t>
  </si>
  <si>
    <t>haldab SA RAADI</t>
  </si>
  <si>
    <t>NB Raadi lastehoiu sünnipäev 15a</t>
  </si>
  <si>
    <t>printer 1000, tekid 500, aknavõrgud 400, kööginurk lastele 3000, köögiinventar 1500, arvuti 1000, voodipesu 1500</t>
  </si>
  <si>
    <t>SA R</t>
  </si>
  <si>
    <t>Raadi=3000</t>
  </si>
  <si>
    <t>Raadi prügi870+poriv 2830+LApesup 2400+Linds580</t>
  </si>
  <si>
    <t>LA ise</t>
  </si>
  <si>
    <t>2lisarühma+uus hange</t>
  </si>
  <si>
    <t>lähtudes õpetaja palgatõusust24% +ülej sama suhe, lisaks 2rühma</t>
  </si>
  <si>
    <t>lähtudes õpetaja palgatõusust24% +ülej sama suhe</t>
  </si>
  <si>
    <t>sh Raadi 3500</t>
  </si>
  <si>
    <t>sh Raadi prügi1000+poriv2300+pesup5000+suurp2000</t>
  </si>
  <si>
    <t>haldab SA RAADI, gaasiküte</t>
  </si>
  <si>
    <t>Raadi SA tehnoseadm hooldus9500+basseinitehnika hooldus8200</t>
  </si>
  <si>
    <t>Leviso hoid 3,50päev LA oma köök</t>
  </si>
  <si>
    <t>kodulehe uuendamine 3000+2uut arvutit majandus+õppejuht</t>
  </si>
  <si>
    <t>lisa aknakatted, pesud, fuajee pehme mööbel, köögi külmik,nõud, väikese maja puhkeruumi kohandus väikeste gruppide õppetööks</t>
  </si>
  <si>
    <t>29520+50260+266000=laen+Cramo+Lhoid</t>
  </si>
  <si>
    <t>lasteaia trepid,koridori remont,liiv, õuerajatiste remont,elektrisüsteem</t>
  </si>
  <si>
    <t>Tolmuimeja, CD mängija</t>
  </si>
  <si>
    <t xml:space="preserve">   Raadi SA   Ripsiku maja gaas</t>
  </si>
  <si>
    <t>2500 Ripsik, 1500 Nupsik</t>
  </si>
  <si>
    <t>majad kokku,sh 5000 Raadi SA planeeritud materjalid uus maja vähendasin 4000</t>
  </si>
  <si>
    <t>sh 1960 Raadi SA lepingud, pesu pesem 9600+porivaibad1600</t>
  </si>
  <si>
    <t>SA Raadi 1500 Ripsik, 1500 Nupsik</t>
  </si>
  <si>
    <t>SA Raadi kulu</t>
  </si>
  <si>
    <t>SA Raadi Ripsik 24666, Nupsik 19328</t>
  </si>
  <si>
    <t>Haldab SA RAADI</t>
  </si>
  <si>
    <t xml:space="preserve">   Eri- ja vormiriietus</t>
  </si>
  <si>
    <t>köögile turvajalanõud, vormiriiete uuendamine,lasteaia esindussärk</t>
  </si>
  <si>
    <t>õppejuht Põlvast</t>
  </si>
  <si>
    <t>jooksvad kulud(lepingud)-mina sain ca3000, tarkvara täiustamine(offic programmid)</t>
  </si>
  <si>
    <t>jooksvad kulud, varstolmuimejate ostmine(5tk),õueala täiust. Vähendasin 2000</t>
  </si>
  <si>
    <t>Raadi SA Ripsik 6600+Nupsik 6600</t>
  </si>
  <si>
    <t>sh 40 inimese töötervishoiu arst,tervisekontroll, med.kappide sisu, tervise kontr 80=in, st3200, vähendasin 3000</t>
  </si>
  <si>
    <t>arvestatud 120m³ kuus</t>
  </si>
  <si>
    <t xml:space="preserve">    Masinate ja seadmete hooldused, remondid (kliima, küte, vent)</t>
  </si>
  <si>
    <t>ujumise transport Kõrvekülla; üritused/võistlused Tartusse (bussisõit on kallinenud)</t>
  </si>
  <si>
    <t>uus maja võtsin aluseks SA Raadi  Nupsiku kulud -pool maja</t>
  </si>
  <si>
    <t>Silt majale - Maarja-Magdaleena lasteaed</t>
  </si>
  <si>
    <t>Sülearvuti+monitor 1000€, Eliis 550€</t>
  </si>
  <si>
    <t xml:space="preserve">10,9 ametikohta, 3 rühma, 46last ,juhataja PK </t>
  </si>
  <si>
    <t xml:space="preserve">24,2 ametikohta, 5rühma, 95 last </t>
  </si>
  <si>
    <t>juhataja 1800-2232+24%</t>
  </si>
  <si>
    <t>52 ametikohta, 12 rühma, 248 last</t>
  </si>
  <si>
    <t>35,4 ametikohta, 8 rühma, 142 last</t>
  </si>
  <si>
    <t xml:space="preserve">76,75 ametikohta, 18 rühma 408 last </t>
  </si>
  <si>
    <t>juhataja 2300-2850+24%</t>
  </si>
  <si>
    <t>see on kogu kompleksi elekter-saal eraldi ei ole</t>
  </si>
  <si>
    <t>gaasiküte , kogu kompleks on jagatud 59% saal+30% Pkool+11% Muusikakool</t>
  </si>
  <si>
    <t>käidukorraldus</t>
  </si>
  <si>
    <t>LISA !!VR ruumi sisustuse (riist- ja tarkvara) projekti omaosalus =2500</t>
  </si>
  <si>
    <t>sisust rent 156000. lifti hooldus+16000 tehnoloogiaklassi sisustus vt allpool selgitus</t>
  </si>
  <si>
    <t>õigekeelsussõnaraamatud 960 eur; atlased 500 eur</t>
  </si>
  <si>
    <t xml:space="preserve"> majahoidja tööriietus</t>
  </si>
  <si>
    <t>22,087 ametikohta</t>
  </si>
  <si>
    <t>41,6 ametikohta</t>
  </si>
  <si>
    <t>2 ametikohta</t>
  </si>
  <si>
    <t>5,9 ametikohta</t>
  </si>
  <si>
    <t xml:space="preserve">abipersonali tööriietus (söökla, </t>
  </si>
  <si>
    <t xml:space="preserve">Opiq+arvutid </t>
  </si>
  <si>
    <t>maakütte ja vent hooldus</t>
  </si>
  <si>
    <t>8,51 ametikohta</t>
  </si>
  <si>
    <t>1,3 ametikohta</t>
  </si>
  <si>
    <t>1 am koht</t>
  </si>
  <si>
    <t>Kooli 50a aastapäeva lisa kulud-almanahh jne</t>
  </si>
  <si>
    <t>Osaliselt kooli 50.aastapäeva kulud</t>
  </si>
  <si>
    <t>1600.- spordivahendid, 1000.- õmblusmasinad, 1000.- muud õppevahendid, 2000.- õppekäigud, ujumise algõpetus 2600.-, Opiq 2700.-</t>
  </si>
  <si>
    <t>arvutiklassi ümberehitus, huvijuhi kabineti kapp valamuga, riiulid, sahtliboks arvutiklassi, õpetaja tool logopeedi klassi</t>
  </si>
  <si>
    <t>ventilatsiooni filtrite vahetus vent seadmete hooldus, kütteseadmete hooldus</t>
  </si>
  <si>
    <t>16,861 ametikohta</t>
  </si>
  <si>
    <t>1,5 ametikohta</t>
  </si>
  <si>
    <t>Akende välipesu 2000</t>
  </si>
  <si>
    <t xml:space="preserve">Opiq 2200€, Stuudium 800€, Eduten 400€, arvutihooldus 6240, serveri rent 150, arvutite rent 3000€. </t>
  </si>
  <si>
    <t>6,55 ametikohta</t>
  </si>
  <si>
    <t>10,953 ametikohta</t>
  </si>
  <si>
    <t>2,5 ametikohta</t>
  </si>
  <si>
    <t>kombiahi</t>
  </si>
  <si>
    <t>2 arvutit 1100€x2</t>
  </si>
  <si>
    <t>Diivan 600€, 3 riidekappi 1000€, laua ja toolide komplekt 1000€</t>
  </si>
  <si>
    <t>kulu</t>
  </si>
  <si>
    <t>liik</t>
  </si>
  <si>
    <t>kokku 01 valitsussektori kulud</t>
  </si>
  <si>
    <t>kokku 01 personalikulud</t>
  </si>
  <si>
    <t>kokku 01 majandamiskulud</t>
  </si>
  <si>
    <t>kokku 01 antud toetused</t>
  </si>
  <si>
    <t>kokku 01 muud</t>
  </si>
  <si>
    <t>kokku 02 riigikaitse kulud</t>
  </si>
  <si>
    <t>kokku 02 antud toetused</t>
  </si>
  <si>
    <t>kokku 02 personalikulud</t>
  </si>
  <si>
    <t>kokku 02 muud</t>
  </si>
  <si>
    <t>kokku 03 avalik kord ja julgeolek</t>
  </si>
  <si>
    <t>Laeva vabatahtlik pääste+Piirisaare???</t>
  </si>
  <si>
    <t>kokku 03 antud toetused</t>
  </si>
  <si>
    <t>kokku 03 personalikulud</t>
  </si>
  <si>
    <t>kokku 03 muud</t>
  </si>
  <si>
    <t>kokku 03 majandamiskulud</t>
  </si>
  <si>
    <t>kokku 02 majandamiskulud</t>
  </si>
  <si>
    <t>hõljuk</t>
  </si>
  <si>
    <t>kokku 04 majandus</t>
  </si>
  <si>
    <t>kokku 04 antud toetused</t>
  </si>
  <si>
    <t>kokku 04 personalikulud</t>
  </si>
  <si>
    <t>kokku 04 majandamiskulud</t>
  </si>
  <si>
    <t>kokku 04 muud</t>
  </si>
  <si>
    <t>kokku 05 keskkonnakaitse</t>
  </si>
  <si>
    <t>kokku 05 antud toetused</t>
  </si>
  <si>
    <t>kokku 05 personalikulud</t>
  </si>
  <si>
    <t>kokku 05 majandamiskulud</t>
  </si>
  <si>
    <t>kokku 05 muud</t>
  </si>
  <si>
    <t>kokku 06 antud toetused</t>
  </si>
  <si>
    <t>kokku 06 personalikulud</t>
  </si>
  <si>
    <t>kokku 06 majandamiskulud</t>
  </si>
  <si>
    <t>kokku 06 muud</t>
  </si>
  <si>
    <t>kokku 06 elamu ja kommunaalmajandus</t>
  </si>
  <si>
    <t>kokku 07 üldmeditsiiniteenused</t>
  </si>
  <si>
    <t>kokku 07 antud toetused</t>
  </si>
  <si>
    <t>kokku 07 personalikulud</t>
  </si>
  <si>
    <t>kokku 07 majandamiskulud</t>
  </si>
  <si>
    <t>kokku 07 muud</t>
  </si>
  <si>
    <t>kokku 08 vaba aeg, kultuur, religioon</t>
  </si>
  <si>
    <t>kokku 08 antud toetused</t>
  </si>
  <si>
    <t>kokku 08 personalikulud</t>
  </si>
  <si>
    <t>kokku 08 majandamiskulud</t>
  </si>
  <si>
    <t>kokku 08 muud</t>
  </si>
  <si>
    <t>kokku 09 Haridus</t>
  </si>
  <si>
    <t>kokku 09 antud toetused</t>
  </si>
  <si>
    <t>kokku 09 personalikulud</t>
  </si>
  <si>
    <t>kokku 09 majandamiskulud</t>
  </si>
  <si>
    <t>kokku 09 muud</t>
  </si>
  <si>
    <t>kokku 10 Sotsiaalne kaitse</t>
  </si>
  <si>
    <t>kokku 10 antud toetused</t>
  </si>
  <si>
    <t>kokku 10 personalikulud</t>
  </si>
  <si>
    <t>kokku 10 majandamiskulud</t>
  </si>
  <si>
    <t>kokku 10 muud</t>
  </si>
  <si>
    <t>Lähte ÜG õpetajad Pkool riik</t>
  </si>
  <si>
    <t>29,85 ametikohta</t>
  </si>
  <si>
    <t>11,36 ametikohta</t>
  </si>
  <si>
    <t>med tuba perearsti juures Kalviter üür 120eur kuus</t>
  </si>
  <si>
    <t>VW kasutusrent6300</t>
  </si>
  <si>
    <t xml:space="preserve"> suurem kulutus valvekaamerate vahetus C-korpuses</t>
  </si>
  <si>
    <t>kulu eelneva aasta näitel</t>
  </si>
  <si>
    <t>lisanduvad Liikuma kutsuva kooli vahendid</t>
  </si>
  <si>
    <t>siin GÜMN sisseost autoõpetus, inseneeria, füsioteraapia 15000</t>
  </si>
  <si>
    <t>kokkulepe</t>
  </si>
  <si>
    <t>7 ametikohta</t>
  </si>
  <si>
    <t>väike inventar ja nende hooldused siin-pliidid, külmikud jne</t>
  </si>
  <si>
    <t>kokkade turvajalanõud, riietus</t>
  </si>
  <si>
    <t>porivaibad+pesupesem (2022a oli pesu peasem ÜG eelarves)</t>
  </si>
  <si>
    <t>4,75 ametikohta</t>
  </si>
  <si>
    <t>Al sept ei ole kulu</t>
  </si>
  <si>
    <t>MTÜ de toetused-laulustuudiod, tantsukoolid jne</t>
  </si>
  <si>
    <t>2022a kuludes liikmemaksud organisatsioonidele Muusikakoolid, huvikoolid?</t>
  </si>
  <si>
    <t>solfedžo töövihikud, noodid</t>
  </si>
  <si>
    <t>sh. Wirkhausi konkurss 3000</t>
  </si>
  <si>
    <t>12 klaveri häälestus ja hooldus 2x aastas (a 240 eurot), puhkpillide ja keelpillide hooldus ja tarvikud</t>
  </si>
  <si>
    <t>6,35ametikohta-12 õpetajat</t>
  </si>
  <si>
    <t>Tabivere PK kuludes</t>
  </si>
  <si>
    <t>hüvitatakse sõitu Tabiverre Tartust 0,2eur Km</t>
  </si>
  <si>
    <t>Tööispektsiooni poolt nõutud tervisekontroll ja meditsiini tarbed</t>
  </si>
  <si>
    <t>töövihikud, noodid, kunstiklassi värvid, savi, puidutööklassi õppematrjalid</t>
  </si>
  <si>
    <t>Jõulu- ja kevadpeo korraldamine, kontserttegevus, õpilaste suvine laager, millele lisandub õpilaste osalustasu. Õpilaste osalemine konkurssidel ja festivalidel</t>
  </si>
  <si>
    <t>Transpordi kasutus laagrisse sõiduks ja tantsufestivalidel osalemiseks</t>
  </si>
  <si>
    <t>13,4 ametikohta=17 õpetajat</t>
  </si>
  <si>
    <t>õppejuht 0,3olemas</t>
  </si>
  <si>
    <t>meie lapsed teiste KOV koolides 2022a 1laps=96eur ca 460-470last 2023a summa-100+?</t>
  </si>
  <si>
    <t>laste treeningud klubides jne</t>
  </si>
  <si>
    <t>Kadi uued lepingud kuni jaan-dets2022</t>
  </si>
  <si>
    <t>LIV ballooni rent</t>
  </si>
  <si>
    <t>Laeva ja Maarjas perearsti kabinetid, asukoht korter küte elekter-soojuspump- väga halvas seisukorras</t>
  </si>
  <si>
    <t>vajalik investeering uus 24kohaline buss</t>
  </si>
  <si>
    <t>Aaroks OÜ-autolavka</t>
  </si>
  <si>
    <t>pood Piirissaarel</t>
  </si>
  <si>
    <t>NB poepidaja jur isik Age of Invest-peab esitama arved!!!</t>
  </si>
  <si>
    <t>10% on vaja</t>
  </si>
  <si>
    <t>106last</t>
  </si>
  <si>
    <t>Liitumine ANK-ga , siis milline on kuumakse=250</t>
  </si>
  <si>
    <t>Liitumine ANK-ga ,250</t>
  </si>
  <si>
    <t>140 õpilast, 2023a sügisel avati Lähte LA-s lauluklass, 12 eriala</t>
  </si>
  <si>
    <t>106 õpilast, 2023a sügisest 14 eriala pilliõpe</t>
  </si>
  <si>
    <t>Kõrveküla hoone+Piirissaare hoone+Laeva tuba</t>
  </si>
  <si>
    <t>Laeva elekter</t>
  </si>
  <si>
    <t>pood Piirissaarel 60x12</t>
  </si>
  <si>
    <t>1 in</t>
  </si>
  <si>
    <t>siin rattajaamad 2022 12*7200</t>
  </si>
  <si>
    <t>KÜ esitatavad haldusarved</t>
  </si>
  <si>
    <t>2mob tel</t>
  </si>
  <si>
    <t>ei Jäätmekeskus14 000 vt keskkond</t>
  </si>
  <si>
    <t>bussij tervisekontr</t>
  </si>
  <si>
    <t xml:space="preserve">   Eri ja vormiriietus</t>
  </si>
  <si>
    <t>MTÜ jäätmehooldus liikmemaks see siin ,mitte 01800</t>
  </si>
  <si>
    <t>terviskontroll 1töötaja</t>
  </si>
  <si>
    <t>toetusf</t>
  </si>
  <si>
    <t>toetusf45448</t>
  </si>
  <si>
    <t>koolieelsete personalikulude toetusfondist 2022 180327</t>
  </si>
  <si>
    <t>toetusfondist 2022a 398748</t>
  </si>
  <si>
    <t>toetusfondist reg toimingud 2725</t>
  </si>
  <si>
    <t>3in kontr*80</t>
  </si>
  <si>
    <t>varjupaikade teenus</t>
  </si>
  <si>
    <t>Sotsiaalabi toetused</t>
  </si>
  <si>
    <t>10600</t>
  </si>
  <si>
    <t>uus tegevusala Pmenis= riigi hüvitis 5850eur</t>
  </si>
  <si>
    <t xml:space="preserve">101211           </t>
  </si>
  <si>
    <t xml:space="preserve"> Puuetega inimeste sotsiaalne kaitse (täiskasvanud)</t>
  </si>
  <si>
    <t xml:space="preserve"> Puuetega inimeste sotsiaalne kaitse (lapsed)</t>
  </si>
  <si>
    <t>4133 01/101211 hooldajatoetus</t>
  </si>
  <si>
    <t>4133 02/101211 hapnikuap(elektri) toetus</t>
  </si>
  <si>
    <t>4133 03/101211 viipekeeletõlgitoetus</t>
  </si>
  <si>
    <t>4133 05/101211 vajaduspõhine toetus</t>
  </si>
  <si>
    <t>4133 07/101211 küttetoetus</t>
  </si>
  <si>
    <t>4133 08/10402 muud toetused?</t>
  </si>
  <si>
    <t>4133 09/101211 ravimite, raviteenuste toetus</t>
  </si>
  <si>
    <t xml:space="preserve">4133 10/101211 hooldusabiteenus </t>
  </si>
  <si>
    <t>*5526 /10 muud kulud ( Maarja küla)</t>
  </si>
  <si>
    <t>*5526 /11 igapäevaelutoetamine (teistes päevakeskustes)</t>
  </si>
  <si>
    <t>*5526 /01 tugiisiku teenus (Estkeer)</t>
  </si>
  <si>
    <t>*5526 /02 sotsiaaltransport</t>
  </si>
  <si>
    <t xml:space="preserve">  Sotsiaalteenused (ÜTAK+tugiisik,muud,igapäevaelu toetus)</t>
  </si>
  <si>
    <t xml:space="preserve">    Sõidukite ülapidamiskulud (isiklik sõiduauto)tugiisiku transp komp</t>
  </si>
  <si>
    <t>vähemalt 2 tugiisikut</t>
  </si>
  <si>
    <t>ESF</t>
  </si>
  <si>
    <t>4133 11/101212 puudega lapse hoiuteenus-transport</t>
  </si>
  <si>
    <t>4133 13/101212 puudega lapse hoiuteenus-lapsehoid</t>
  </si>
  <si>
    <t>4133 14/101212 puudega lapse hoiuteenus-nõustamine</t>
  </si>
  <si>
    <t>4133 16/101212 puudega lapse hoiuteenus-tugiisikuteenus</t>
  </si>
  <si>
    <t>4133 19/101212 puudega lapse hoiuteenus-muud teenused</t>
  </si>
  <si>
    <t>4133 20/101212 puudega lapse hoiuteenus-sotsiaaltransport</t>
  </si>
  <si>
    <t>2022a ESF tugi aga 2023 enda eelarve kulud</t>
  </si>
  <si>
    <t>SKA leping ja vastavalt arvetele tulud 2022a tulud=15000</t>
  </si>
  <si>
    <t>SKA leping( igap elu toetus+elam toetus+töötam toetus) 2022a tulud=47000+elanikud ise oma kaabeltelvisioon+kuutasu 65eur kuus= 5500 kokku 52 500</t>
  </si>
  <si>
    <t>4132 toetused töötutele</t>
  </si>
  <si>
    <t>3 töötajat 2Tabiveres+1Maarjas</t>
  </si>
  <si>
    <t xml:space="preserve"> * vesi ja kanalisatsioon</t>
  </si>
  <si>
    <t>Tab RKAS rent373x12=4476+kommunaalid gaasiküte ca5300=9800+Tab Tuuliku9=3000+Tab Tuuliku5=3000+ interneti digibox 660, st kokku sotskorterid 6660</t>
  </si>
  <si>
    <t>* kindlustus</t>
  </si>
  <si>
    <t>Dacia 198MSH, välja ostetud pole enam kasutusrenti</t>
  </si>
  <si>
    <t>1 in tervisekontrolli</t>
  </si>
  <si>
    <t>kulud ainult teenusel olevate inimeste tasud</t>
  </si>
  <si>
    <t xml:space="preserve">majanduskulud kõik Päevakeskuse all </t>
  </si>
  <si>
    <t>2022a kulu 1417-mis see on? Kas on vajalik</t>
  </si>
  <si>
    <t xml:space="preserve">    Sotsiaalteenused (hooldekodude teenuse ost)</t>
  </si>
  <si>
    <t>4138 02/10201 küttepuude toetus</t>
  </si>
  <si>
    <t>4138 03/10201 ravimid ja raviteenuste toetus</t>
  </si>
  <si>
    <t>4138 04/10201 muud toetused</t>
  </si>
  <si>
    <t>4138 05/10201 tervisetoetus</t>
  </si>
  <si>
    <t>Muud sotsiaalabi toetused</t>
  </si>
  <si>
    <t>puudega eakad 7500+siin 22000 = kokku 29500</t>
  </si>
  <si>
    <t>01</t>
  </si>
  <si>
    <t>4130/10402 raske maj. oluk</t>
  </si>
  <si>
    <t>4130/10402 huvitegevuse toetus</t>
  </si>
  <si>
    <t>4130/10402 tervisetoetus</t>
  </si>
  <si>
    <t>12</t>
  </si>
  <si>
    <t>4130/10402 sünnitoetus</t>
  </si>
  <si>
    <t>13</t>
  </si>
  <si>
    <t>4130/10402 koolitoetus</t>
  </si>
  <si>
    <t>17</t>
  </si>
  <si>
    <t>4130/10402 hoolduspere lapse toetus</t>
  </si>
  <si>
    <t>18</t>
  </si>
  <si>
    <t>4130/10402 hoolduspere vanema toetus</t>
  </si>
  <si>
    <t>19</t>
  </si>
  <si>
    <t>4130/10402 ranitsatoetus</t>
  </si>
  <si>
    <t>Toimet ja täiendav sots toetus (el hinna komp riik)</t>
  </si>
  <si>
    <t>muud Transport</t>
  </si>
  <si>
    <t xml:space="preserve"> Vaba aeg</t>
  </si>
  <si>
    <t>lusikapeod9000+koduste laste jõulud 5100</t>
  </si>
  <si>
    <t>Rahandusministeerium URBACT</t>
  </si>
  <si>
    <t>volis 55*12</t>
  </si>
  <si>
    <t>valimised2023</t>
  </si>
  <si>
    <t>TOL 26600+valdadeliit10000+Tartumaa ühistr keskus25530+Tartumaa Arendus5700+Jõgevamaakoda903+Saartekogu110</t>
  </si>
  <si>
    <t xml:space="preserve">muud sa </t>
  </si>
  <si>
    <t>Tõnise arvutuste põhjal</t>
  </si>
  <si>
    <t>hõljukijuht lepinguline</t>
  </si>
  <si>
    <t>GIS kulud geoveeb2800+mõõdistuste kontroller1430+ESRI litsents 5900+teenused geoarhiiv 9900+koondplaanile andmed 1x12670+adminlep 4320=37000+arvutit 3tk iga osak 1tk</t>
  </si>
  <si>
    <t>M-osak 1töökoha mööbel+pisitööriistad jne</t>
  </si>
  <si>
    <t>kontrolli 5in+prillide komp</t>
  </si>
  <si>
    <t>töömeestele</t>
  </si>
  <si>
    <t>Tiit 300L+saarel 200L=500L kuus</t>
  </si>
  <si>
    <t>kaugküte-hake</t>
  </si>
  <si>
    <t>Tab Katlamaja+Laeva töökoda-elektriküte+Piirissaare töökoda</t>
  </si>
  <si>
    <t>Tab katlamaja+Laeva töökoja vesi</t>
  </si>
  <si>
    <t>pisivahendid</t>
  </si>
  <si>
    <t>Laeva töök</t>
  </si>
  <si>
    <t>19*300</t>
  </si>
  <si>
    <t>Ehitusosak=8+Arenguosak4+Majandusosak9 kokku 21 in</t>
  </si>
  <si>
    <t>bussiootepaviljonide ost ca8tk</t>
  </si>
  <si>
    <t>liikluskorraldus, korrashoid, kruusavedu, teetruupide rem, bussijaamade ja peatuste rem</t>
  </si>
  <si>
    <t>lep Tartu Linn jäätmejaamad 22800+prügi rannad, sadam, jne avalikud alad +eterniidi ring10000+ KIK omaosalus 1900ohtlikud jäätm</t>
  </si>
  <si>
    <t>pargipingid, pargipaviljon niidukite hooldused+rem</t>
  </si>
  <si>
    <t>heakorra töölised  võs lep suvel</t>
  </si>
  <si>
    <t>Kihnu Veeteed arved praamisõidud</t>
  </si>
  <si>
    <t>töövõtu kep Piirissaarel kaevude puhastus</t>
  </si>
  <si>
    <t>elekter30000(2022a kulu15000)+hüdrantide veekulu (3000)</t>
  </si>
  <si>
    <t>elekter+liitumised 250 000+pisirem 10000</t>
  </si>
  <si>
    <t>KÜ toetuse meede</t>
  </si>
  <si>
    <t>Piisissaare praamipiletid-veetranspordi alla</t>
  </si>
  <si>
    <t>MaarjaM tööriistade hoidmise kuur</t>
  </si>
  <si>
    <t>Kalmistute puude raie (Maarja-Magdaleena kalmistu uus osa, 15000+elekter, vesi, prügivedu+EELKMM 970x12+EELKÄksi 970X12</t>
  </si>
  <si>
    <t>Päästeameti ettekirjutused sots korterites</t>
  </si>
  <si>
    <t>muruniitmine krundil-bens</t>
  </si>
  <si>
    <t>lume tootm, radade hooldusjne</t>
  </si>
  <si>
    <t>rajatraktorite jm rem</t>
  </si>
  <si>
    <t>pisirem, seinte värv jne</t>
  </si>
  <si>
    <t>sotsiaaltr=120 000-25530toetus= 47000täiskasvanud+47470lapsed</t>
  </si>
  <si>
    <t>4133 08 muud toetused</t>
  </si>
  <si>
    <t xml:space="preserve"> Õppetoetused</t>
  </si>
  <si>
    <t>4134 04/104024 sõidusoodustused</t>
  </si>
  <si>
    <t>4134/104025 koolitoidu soodustus (teisedKOV)</t>
  </si>
  <si>
    <t>teistes KOV käivate laste vabastused 4500+meie lapsed ca 100laste kuusx58+toit 100x2=6000kuus</t>
  </si>
  <si>
    <t>4134 01/104023 lasteaia õppemaksu+toidupäeva soodustus</t>
  </si>
  <si>
    <t>4138 01/10402 matusetoetus</t>
  </si>
  <si>
    <t>Preemiad ja stipendiumid(medalistid)</t>
  </si>
  <si>
    <t>Sotsiaalteenused</t>
  </si>
  <si>
    <t>5526 01</t>
  </si>
  <si>
    <t xml:space="preserve">    * tugiisik(teenuse ost)</t>
  </si>
  <si>
    <t>5526 10</t>
  </si>
  <si>
    <t xml:space="preserve">   *101211 muud kulud</t>
  </si>
  <si>
    <t>5526 12</t>
  </si>
  <si>
    <t xml:space="preserve">    *10402 laste laager</t>
  </si>
  <si>
    <t xml:space="preserve">Elamuasemeteenused </t>
  </si>
  <si>
    <t>11,6 am kohta/12töötajat+1koht lastekaitsespets juurde</t>
  </si>
  <si>
    <t>13*300</t>
  </si>
  <si>
    <t>toidupangast vedu 1x nädalas</t>
  </si>
  <si>
    <t>Projektipõhine tegevus kokku</t>
  </si>
  <si>
    <t xml:space="preserve"> muud toetused</t>
  </si>
  <si>
    <t>Imelised aastad-person kulud 6100+koolitus 13100+toiduained 1700=20900(tulu 12000)</t>
  </si>
  <si>
    <t>J M keskus tagasi tööle=1400+MTÜ Kuldne Liiga=setsidaamid</t>
  </si>
  <si>
    <t>4138 06/  kriisiabi</t>
  </si>
  <si>
    <t>10kuudx20px2=400 laps aastas</t>
  </si>
  <si>
    <t>12kuudx58=696 laps aastas</t>
  </si>
  <si>
    <t>NB Projektipõhine tegevus Imelised Aastad???</t>
  </si>
  <si>
    <t>Tartu</t>
  </si>
  <si>
    <t>Tartu vald</t>
  </si>
  <si>
    <t>Maakond</t>
  </si>
  <si>
    <t>Kohalik omavalitsus</t>
  </si>
  <si>
    <t>Tasandus-fondi jaotus</t>
  </si>
  <si>
    <t>Toetusfondi jaotus</t>
  </si>
  <si>
    <t>sh VV 3. juuni 2022 korraldus nr 164</t>
  </si>
  <si>
    <t>sh VV 8. sept 2022 korraldus nr 242</t>
  </si>
  <si>
    <t>Üldhariduskoolide pidamiseks antav toetus</t>
  </si>
  <si>
    <t>Koolieelsete lasteasutuste õpetajate tööjõukulude toetus</t>
  </si>
  <si>
    <t>Huvihariduse ja -tegevuse toetus</t>
  </si>
  <si>
    <t>Raske ja sügava puudega lastele abi osutamise toetus</t>
  </si>
  <si>
    <t>Toimetuleku-toetuse maksmise hüvitis</t>
  </si>
  <si>
    <t>Matuse-toetus</t>
  </si>
  <si>
    <t>Asendus- ja järelhooldus-teenuse toetus</t>
  </si>
  <si>
    <t>Rahvastikutoimingute kulude hüvitis</t>
  </si>
  <si>
    <t>Kohalike teede hoiu toetus</t>
  </si>
  <si>
    <t>Üle antud endiste riigiteede toetus</t>
  </si>
  <si>
    <t>Toetus KOKKU</t>
  </si>
  <si>
    <t>sh põhikooli õpetajate tööjõukuludeks</t>
  </si>
  <si>
    <t>sh gümnaasiumi õpetajate tööjõukuludeks</t>
  </si>
  <si>
    <t>sh direktorite ja õppealajuhatajate tööjõukuludeks</t>
  </si>
  <si>
    <t>sh õpetajate, direktorite ja õppealajuhatajate täiendus-koolituseks</t>
  </si>
  <si>
    <t>sh õppekirjanduseks</t>
  </si>
  <si>
    <t>sh koolilõunaks</t>
  </si>
  <si>
    <t>sh tõhustatud ja eritoe tegevuskuludeks</t>
  </si>
  <si>
    <t>sh kultuuri-ranits</t>
  </si>
  <si>
    <t>Toimetulekutoetuse maksmise hüvitis</t>
  </si>
  <si>
    <t>Rahvastiku-toimingute kulude hüvitis</t>
  </si>
  <si>
    <t xml:space="preserve">õp kokku </t>
  </si>
  <si>
    <t>Kõrvek</t>
  </si>
  <si>
    <t>LähtePK</t>
  </si>
  <si>
    <t>Tab PK</t>
  </si>
  <si>
    <t>Mmagdal</t>
  </si>
  <si>
    <t>Laeva</t>
  </si>
  <si>
    <t>vahe</t>
  </si>
  <si>
    <t>see pidi 45% suurenema</t>
  </si>
  <si>
    <t>EA strateegias 7,04%</t>
  </si>
  <si>
    <t>NOVA personalikulu 1338*12 origanisaator=16056+Imelised Aastad 6100</t>
  </si>
  <si>
    <t>parandada 2022 lisaEA</t>
  </si>
  <si>
    <t>Muuseumi tee pikendus MATA</t>
  </si>
  <si>
    <t>Vahi tn kergliiklustee (Raadi alev)</t>
  </si>
  <si>
    <t>Mõisavärava park Raadi alev</t>
  </si>
  <si>
    <t>kaugküte Raadi</t>
  </si>
  <si>
    <t>Raadi hariduskeskus( PK+LA+Sporditaristu+kogukonnakeskus)</t>
  </si>
  <si>
    <t>EA strateegiast</t>
  </si>
  <si>
    <t>vt teehoiukavast</t>
  </si>
  <si>
    <t xml:space="preserve"> vähemalt 1koht vallas</t>
  </si>
  <si>
    <t>hanke tulemusena , summa väiksem</t>
  </si>
  <si>
    <t>so koostöö linnaga</t>
  </si>
  <si>
    <t>kruusat150+mustkate350T</t>
  </si>
  <si>
    <t>vaadatud 18.11.22</t>
  </si>
  <si>
    <t>PT tulem peaks olema vähem alt 2,7milj , siis 100% laenuvõimekus</t>
  </si>
  <si>
    <t>eskiis Lootusprojekt, viimane makse 2023a</t>
  </si>
  <si>
    <t>Lähte jäähall/väljak I+II etappMATA</t>
  </si>
  <si>
    <t>Vallamaja hoone Kõrveküla</t>
  </si>
  <si>
    <t>Muuseumi tee pikendus Raadi</t>
  </si>
  <si>
    <t>Tabivere rahvamaja( Päästeam ettekirjutused)</t>
  </si>
  <si>
    <t>Multifunktsionaalne traktor-tõstuk (Piirissaarel)</t>
  </si>
  <si>
    <t xml:space="preserve">Rähni tn ristmik </t>
  </si>
  <si>
    <t>ei tule seda toetuse meedet, jääb ära sellises mahus</t>
  </si>
  <si>
    <t>veevarustus ERMI,Raadiraja jne Tartu Veevärk</t>
  </si>
  <si>
    <t>Kärkna kergliiklustee MNT</t>
  </si>
  <si>
    <t>vähemalt 1 mänguväljak aastas</t>
  </si>
  <si>
    <t>Vahi 63 kruntide müük!!! Kiire!</t>
  </si>
  <si>
    <t>elektrihinna komp  lõpp 2022</t>
  </si>
  <si>
    <t>4130/10402+10600 muud peretoetused (psühhol.nõustam)</t>
  </si>
  <si>
    <t>09800</t>
  </si>
  <si>
    <t xml:space="preserve"> Haridusalaste tegevuste haldamine</t>
  </si>
  <si>
    <t>Haridustöötajate tänukingitused-erisoodustus!</t>
  </si>
  <si>
    <t>ca100õpilast a15eur kingitus-tublimad kevad2023</t>
  </si>
  <si>
    <t>heade õpilaste tänuüritus-2500+haridustöötajate tänuüritus-4500+tugispets-de kohtumised-1000</t>
  </si>
  <si>
    <t>Noorte volikogu+1 üritus ülevallaline</t>
  </si>
  <si>
    <t>uus õhksoojuspump-2000</t>
  </si>
  <si>
    <t>euribor 2,2</t>
  </si>
  <si>
    <t>439lastx210eur</t>
  </si>
  <si>
    <t>oma päikesepaneelid</t>
  </si>
  <si>
    <t>lapsekohta 8eur</t>
  </si>
  <si>
    <t>10000 Ripsik, 8000 Nupsik</t>
  </si>
  <si>
    <t>lapsekohta 8,eur</t>
  </si>
  <si>
    <t xml:space="preserve"> Delta programm iga kuu 80.-/1000 aasta; koduleht/logo- (400.-); Alpa Kids programm 250 euri aasta.</t>
  </si>
  <si>
    <t>termokutter (700.-); toiduväljastusnõud, voodipesu lastele,  jpms.</t>
  </si>
  <si>
    <t>lisasin 993943 koolide toetusf jaotus+150000 puuetega lapsed ja toimekas</t>
  </si>
  <si>
    <t>riik 54924</t>
  </si>
  <si>
    <t>aknalaudade vahetus, põrandate remont, elektrisüsteemi uuendamine</t>
  </si>
  <si>
    <t>riik 4416</t>
  </si>
  <si>
    <t>8,25 ametikohta</t>
  </si>
  <si>
    <t>riik 14168</t>
  </si>
  <si>
    <t>riik 6716</t>
  </si>
  <si>
    <t>24,53 am kohta</t>
  </si>
  <si>
    <t>riik 47380</t>
  </si>
  <si>
    <t>toetusfond 146 452=2022</t>
  </si>
  <si>
    <t>riik 104475</t>
  </si>
  <si>
    <t>riik 90125</t>
  </si>
  <si>
    <t>riik 8400</t>
  </si>
  <si>
    <t>2 am kohta</t>
  </si>
  <si>
    <t>riik 26950</t>
  </si>
  <si>
    <t>2,5 ametikohta koos LA toitlustamisega</t>
  </si>
  <si>
    <t>riik 12775</t>
  </si>
  <si>
    <t>tugiisiku tasud</t>
  </si>
  <si>
    <t>memme-taadi pidu+kingitus 10€/tk=11000+Kuldsete paaride pidu  ca30 paari 20eur-meede/paar+pidu 2400</t>
  </si>
  <si>
    <t>medalistide TM+LA tugiisikute tasud 2in mitte puudega</t>
  </si>
  <si>
    <t>5tk Opelid Mobire rent</t>
  </si>
  <si>
    <t>EA str 4 800 000</t>
  </si>
  <si>
    <t>Opel530+Peugeot+Focus+Piirisaarel sõiduk</t>
  </si>
  <si>
    <t>Laevas vaht 12kuud+Piirissaarel 6kuud+lisalep reg korrastus</t>
  </si>
  <si>
    <t xml:space="preserve">sh 5000.(valentini-, lastekaitsepäev, nk sünnipäev, 4 x teemaüritused, erinevad töötoad ja loengud, 6 x ööbimised jms) </t>
  </si>
  <si>
    <t>Soov muuta Vedu RK vähem, st 0,4+ 0,6 Kõrvekülas (praegu Vedu0,6+KÕ 0,4)</t>
  </si>
  <si>
    <t>2022tasemel hetkel</t>
  </si>
  <si>
    <t>Laeva töök ja TaB katlamajas tööliste WC remont-ainult WC rem jääb</t>
  </si>
  <si>
    <t>uus hind!</t>
  </si>
  <si>
    <t>kokku kulud</t>
  </si>
  <si>
    <t>kokku toetused</t>
  </si>
  <si>
    <t>kokku personalikulud</t>
  </si>
  <si>
    <t>kokku majandamiskulud</t>
  </si>
  <si>
    <t>kokku muud</t>
  </si>
  <si>
    <t>arvlemised teisedKOV huvikoolid Elva, Tartu, Mustvee,Tartu jne</t>
  </si>
  <si>
    <t>kokku meie osalus 2023</t>
  </si>
  <si>
    <t>UKR üüritoetus</t>
  </si>
  <si>
    <t>63677+48712+114218=226607=2022a</t>
  </si>
  <si>
    <t>UKR muud toetus</t>
  </si>
  <si>
    <t>Ukraina toetused sots kuludes 8000+5500</t>
  </si>
  <si>
    <t>tulud LA =1 00 600eur</t>
  </si>
  <si>
    <t>6 in tervisekontroll+tarvikud+prillidekomp</t>
  </si>
  <si>
    <t>lisandus Vahi liin+Kõrveküla liin!!! peatusHariduse tn=55 000</t>
  </si>
  <si>
    <t>Piirissaare pood vana leping 350eur x6=2100, kas ainult navig perioodil</t>
  </si>
  <si>
    <t xml:space="preserve">    Sõidukite majandamise kulud</t>
  </si>
  <si>
    <t>8000roobotniiduk staadionile ei saa 2023</t>
  </si>
  <si>
    <t>läheb kaugküttele</t>
  </si>
  <si>
    <t>asub EELK hoones,</t>
  </si>
  <si>
    <t>vabaõhulava katuse renoveerimine25000</t>
  </si>
  <si>
    <t>omatulu plaan 2750</t>
  </si>
  <si>
    <t>EELK Äksi uus taotlus 5000+ kas ka Piirisaare 5000</t>
  </si>
  <si>
    <t>katlamaja, vent  hooldused+veeseade 10000</t>
  </si>
  <si>
    <t xml:space="preserve">1 jääb projektorit </t>
  </si>
  <si>
    <t>päikesepaneel</t>
  </si>
  <si>
    <t>Maarja Magdaleena Põhikool</t>
  </si>
  <si>
    <t>riik</t>
  </si>
  <si>
    <t>Lasteaia ruumide kohandamine õpilaskodule40000 investeering</t>
  </si>
  <si>
    <t>vastavalt 2022a laekumistele</t>
  </si>
  <si>
    <t>Piirissaare elekter- Majandus</t>
  </si>
  <si>
    <t>TeliaEesti Piirivalve masti elektrikulu</t>
  </si>
  <si>
    <t>Ehitusosak planeeringud, geodeesia, maa mõõtmised Dpjne, arendusprojektid+arengukavad ÜVK+sooja+standardid 1000</t>
  </si>
  <si>
    <t>lumelükkamine+libedusetõrje600 000,niitmine ca 42ha, lehtede koristus, randade, mänguväljakute jne hooldused, järvede niitm 10000, lipukonstr jne lilled vaasidesse hange 13816+muu haljastus puud põõsad 55000</t>
  </si>
  <si>
    <t>Tartu linna varjupaik 2022a3900+lemmikloomareg 22*12+korrashoiteenused iga kuu ca3700</t>
  </si>
  <si>
    <t>invest soovPärsik</t>
  </si>
  <si>
    <t>Lähte spordihoone+staadion</t>
  </si>
  <si>
    <t>Lähte jääväljak</t>
  </si>
  <si>
    <t>valgustuse+akude laadimise elekter 6000 jm hooldused</t>
  </si>
  <si>
    <t>0810209</t>
  </si>
  <si>
    <t>kaugküte -hake</t>
  </si>
  <si>
    <t>gaasiküte-lokaal</t>
  </si>
  <si>
    <t>MTÜ de toetused SPOKU+toetused spordilootused-7000??</t>
  </si>
  <si>
    <t>transport 4900+osavõtutasud, auhinnad 10100</t>
  </si>
  <si>
    <t>10% tõus+ 35kp puhkust</t>
  </si>
  <si>
    <t>2023a uus hoone koos Päevakeskusega -Kiriku tee 11, siin kogu maja halduskulud</t>
  </si>
  <si>
    <t>ahiküte-puud-töötud kütavad</t>
  </si>
  <si>
    <t>soojuspumbad</t>
  </si>
  <si>
    <t>kuni 2022a lõpuni pole eraldi voolumõõtjat korteris , perearsti kuludes</t>
  </si>
  <si>
    <t>pisirem , überehitus lasteaia WC jne täiskasvanute vajaduseks, vahesein  kummagi asutuse vahel, korstnate puhastus</t>
  </si>
  <si>
    <t>mängud jne</t>
  </si>
  <si>
    <t>võimalusel üle minna kaugküttele!!!</t>
  </si>
  <si>
    <t>Praegu 2022a kulude põhjal+personal 15%</t>
  </si>
  <si>
    <t>kuuskede põletamine4000+Vab aastap vastuvõtt 25000+Laulupärlike3000+jaanituli20000+hoovifestival3000+muinastuledeöö10000+1.advent800+reserviks1200</t>
  </si>
  <si>
    <t>Jääajakeskusele terve loodusmaja rent</t>
  </si>
  <si>
    <t>juht+perenaine=2in+ringijuhid 6tk tunnitasuga =9kuud , suvel ei</t>
  </si>
  <si>
    <t>2022a KULKA raha lisaks, st 12%</t>
  </si>
  <si>
    <t>juht+perenaine=2in+ringijuhid tunnitasuga 6juhendajat=9kuud</t>
  </si>
  <si>
    <t>juht+perenaine=2in+ringijuhid tunnitasuga 6juhendajat= 9kuud</t>
  </si>
  <si>
    <t>juht0,5+perenaine=1,5kohta+ringijuhid tunnitasuga 2juhendajat 9kuud</t>
  </si>
  <si>
    <t>2022 polnud ühtegi ringi</t>
  </si>
  <si>
    <t>2õhksoojuspumpa, terve hoone majandamine (raamatukogu all pole hoone kulusid)</t>
  </si>
  <si>
    <t>koduleht majutus 120*12+server Telia60*12</t>
  </si>
  <si>
    <t>käsundused</t>
  </si>
  <si>
    <t>Lasteaiad</t>
  </si>
  <si>
    <t>Magister õpetaja PK</t>
  </si>
  <si>
    <t>so 1749, st 90%</t>
  </si>
  <si>
    <t>LA õpetaja nii BA+kesk</t>
  </si>
  <si>
    <t>LA õpetaja abi</t>
  </si>
  <si>
    <t>LA õpetaja assistent</t>
  </si>
  <si>
    <t>palga tõusu%</t>
  </si>
  <si>
    <t>Lhoiu lapsehoidja</t>
  </si>
  <si>
    <t>1090/1040</t>
  </si>
  <si>
    <t>oleneb kutsest</t>
  </si>
  <si>
    <t>LA peakokk</t>
  </si>
  <si>
    <t>LA kokk</t>
  </si>
  <si>
    <t>LA majaperenaine</t>
  </si>
  <si>
    <t>LA puhastustöötaja</t>
  </si>
  <si>
    <t>1250/1035</t>
  </si>
  <si>
    <t>750-800</t>
  </si>
  <si>
    <t>8,35 ametikohta, juhataja puudub</t>
  </si>
  <si>
    <t>pool maja rek</t>
  </si>
  <si>
    <t>32last , 2rühma</t>
  </si>
  <si>
    <t>Koolid</t>
  </si>
  <si>
    <t>õpetaja (ka eriped, sotsped jne</t>
  </si>
  <si>
    <t>huviringid</t>
  </si>
  <si>
    <t>muu abistav personal valla palgal</t>
  </si>
  <si>
    <t>baas õpilase tasu</t>
  </si>
  <si>
    <t>92*õpil</t>
  </si>
  <si>
    <t>12*õpil</t>
  </si>
  <si>
    <t>57*õpil</t>
  </si>
  <si>
    <t>175*õp arv</t>
  </si>
  <si>
    <t>õpil*koef1,357</t>
  </si>
  <si>
    <t>õpilaste arv</t>
  </si>
  <si>
    <t>Täiendus-koolitus toetus</t>
  </si>
  <si>
    <t>Õppekirjanduse toetus</t>
  </si>
  <si>
    <t>Koolilõuna toetus</t>
  </si>
  <si>
    <t>Kultuuriranitsa toetus</t>
  </si>
  <si>
    <t>Toetus
 KOKKU</t>
  </si>
  <si>
    <t>Õpetajate tööjõukulu toetus</t>
  </si>
  <si>
    <t>Kokku õpetajate tööjõukulu</t>
  </si>
  <si>
    <t>Direktorite
 ja õppeala-
juhatajate 
tööjõukulu toetus</t>
  </si>
  <si>
    <t>TÖÖJÕUKULU TOETUS KOKKU</t>
  </si>
  <si>
    <t>PK ÕPETAJAD+TEG TOETUS jaotus</t>
  </si>
  <si>
    <t>PK õpetajad tõhustatud tugi</t>
  </si>
  <si>
    <t>PK õpetajad eritugi</t>
  </si>
  <si>
    <t>GÜM. õpetajate tasud</t>
  </si>
  <si>
    <t>Lähte ÜG-GÜMN</t>
  </si>
  <si>
    <t>Lähte ÜG PK</t>
  </si>
  <si>
    <t>Kõrveküla PK</t>
  </si>
  <si>
    <t>Tabivere PK</t>
  </si>
  <si>
    <t>Laeva PK</t>
  </si>
  <si>
    <t>Maarja Magdaleena</t>
  </si>
  <si>
    <t>13 eurot põhikooli õpilase kohta</t>
  </si>
  <si>
    <t>kontroll vahed</t>
  </si>
  <si>
    <t>1 Kõrvek koduõppel</t>
  </si>
  <si>
    <t>õpetajate TJõukulud</t>
  </si>
  <si>
    <t>õpetaja tasu koduõppel1162</t>
  </si>
  <si>
    <t>väikegümn lisa õpxlisakoef 1,055</t>
  </si>
  <si>
    <t>lisasin 1162 KõrvekPKle</t>
  </si>
  <si>
    <t>kululiigid</t>
  </si>
  <si>
    <t>2023 esmane 30.11.22</t>
  </si>
  <si>
    <t>7,3 ametikohta</t>
  </si>
  <si>
    <t>lapsi 600, klasse 28</t>
  </si>
  <si>
    <t>lapsi 50, klasse8</t>
  </si>
  <si>
    <t>0,3õppejuhi koht juurde al sept</t>
  </si>
  <si>
    <t>lapsi 153, klasse 9</t>
  </si>
  <si>
    <t>paljundusaparaat 2200.-, tööõpetuse wifiruuter 200.-, TV kaablid 300.- 3 õpetajate sülearvutit 3000.-,  arvutihooldus 6960.-, arvutite rent 7040.-, virtuaalserver 2450.-, koduleht 150.-, Õpiveeb 1300.-, Riks 100.-, remondikulud 300.--4000</t>
  </si>
  <si>
    <t>Mobire rent 528*12=6336+isiklik1500</t>
  </si>
  <si>
    <t>lapsi73, klasse9</t>
  </si>
  <si>
    <t>Pimendavad rulood 1500, koosolekulaud+toolid 1500, õpetajate toolid 1500 (10tk), käsitööklassi inventar 1000€-10000</t>
  </si>
  <si>
    <t>ujumise transport, võistlused, õppekäigud+Erasmuse jääk 2593</t>
  </si>
  <si>
    <t xml:space="preserve">    Muud mitmesugused maj.kulud+Erasmuse jääk</t>
  </si>
  <si>
    <t>koos lasteaiaga, 2022a õppejuhi koht PK õpetajate kuludes</t>
  </si>
  <si>
    <t>lapsi PK 369, klasse 21</t>
  </si>
  <si>
    <t>Gümn 146last, klasse6</t>
  </si>
  <si>
    <t>1 sööklatööline juures al sept2022</t>
  </si>
  <si>
    <t>Kooli ja lasteaia söökla asub LA ruumides pelletiküte</t>
  </si>
  <si>
    <t>2022a EA viga</t>
  </si>
  <si>
    <t>juht 0,5</t>
  </si>
  <si>
    <t>huvikool+muusikakool+spordikool</t>
  </si>
  <si>
    <t>õpetaja</t>
  </si>
  <si>
    <t>see sama 2022a , selgub riigieelarve vastu võtmisel-ei ole lubadust tõsta</t>
  </si>
  <si>
    <t>sama tasu, mis Muusikakooli õpetajatel</t>
  </si>
  <si>
    <t>11 kvalifikatsiooniga treenerit, kes saab riigilt 50% personalikulude toetust, nendel tõus 37%, 10-15%</t>
  </si>
  <si>
    <t>spordikooli kv treener</t>
  </si>
  <si>
    <t>õpilaste arvu kasv + hindade tõus, õpikufondi kaasajastamine, muusikaõp.õppevahendid</t>
  </si>
  <si>
    <t xml:space="preserve">spordivõistlused - osalustasud, transport20000+  NB Laulupeost osavõtu kulud 3 koori+2 tantsurühma=19610 </t>
  </si>
  <si>
    <t>tahvelarvutite ost jm arvutite liisingud jne</t>
  </si>
  <si>
    <t>õppeekskursioonide kulud transpordi hinna tõusu tõttu kasvanud</t>
  </si>
  <si>
    <t>linnupeletid??</t>
  </si>
  <si>
    <t>Tab pisirem krt-tes 700</t>
  </si>
  <si>
    <t>Hooned: Tabiveres Päästehoone rent+kommunaalid gaasiküte+sotskort Tuuliiku 9-6+Tuuliku5-3-ühistute arved+Maarjas uus Kiriku tee 11 NK kuludes</t>
  </si>
  <si>
    <t>Tab Tuuliku 9=154+Tuuliku5=185</t>
  </si>
  <si>
    <t>MaarjaMagdaleena PK õpilaskodu renov</t>
  </si>
  <si>
    <t>Maarja Magdaleena laululava katuse rek.</t>
  </si>
  <si>
    <t>kallinemine</t>
  </si>
  <si>
    <t>muutus349562</t>
  </si>
  <si>
    <t>kokku 31210=sama sihtfin 2022 käes tel 8093eur, ülej 2023a</t>
  </si>
  <si>
    <t>970last</t>
  </si>
  <si>
    <t>täitmine 31.10.2022</t>
  </si>
  <si>
    <t>UKR toetused</t>
  </si>
  <si>
    <t>üüritoetus</t>
  </si>
  <si>
    <t>2022a olid VP valvekaamerad</t>
  </si>
  <si>
    <t>20922talguliste supp</t>
  </si>
  <si>
    <t xml:space="preserve">   Masinate ja seadmete hooldus</t>
  </si>
  <si>
    <t>kohalikud ülevallalised üritused, võistkondade osavõtutasud, noortesport</t>
  </si>
  <si>
    <t xml:space="preserve"> * korrashoiu materjalid</t>
  </si>
  <si>
    <t xml:space="preserve"> * korrashoiu teenus</t>
  </si>
  <si>
    <t xml:space="preserve">    Õppevahendid ja koolituse kulud</t>
  </si>
  <si>
    <t>Õpilaskodu Maarja Magdaleena</t>
  </si>
  <si>
    <t>*5526 /14 lapsehoiuteenus</t>
  </si>
  <si>
    <t>tegevusvahendid, rehabilitatsiooniteenus</t>
  </si>
  <si>
    <t xml:space="preserve">102002           </t>
  </si>
  <si>
    <t>Antud toetused</t>
  </si>
  <si>
    <t xml:space="preserve">  *03 asendus ja järelhooldus</t>
  </si>
  <si>
    <t>5526 08 asendushooldusteenus</t>
  </si>
  <si>
    <t>2022a Äksi poe rem</t>
  </si>
  <si>
    <t>2022a see läheb 2023a tegevusala planeeringud</t>
  </si>
  <si>
    <t>2022kliimapumba agregaadi vahetus-2023 a seadmete hooldus</t>
  </si>
  <si>
    <t>2022a saali põranda hooldus</t>
  </si>
  <si>
    <t>2022a konditsioneeri paigaldus</t>
  </si>
  <si>
    <t>vesi KÜ arvete sees</t>
  </si>
  <si>
    <t>tervisekontr</t>
  </si>
  <si>
    <t>2022a ost uus arvuti</t>
  </si>
  <si>
    <t>2. korruse elekter juurde</t>
  </si>
  <si>
    <t>2022a Erasmuse projektiga lisakulud</t>
  </si>
  <si>
    <t>õpetajate tervisekontroll ja tõendid (10 x 80 eurot), esmaabitarbed</t>
  </si>
  <si>
    <t>muutus 2022-2023</t>
  </si>
  <si>
    <t>2022 õpilasmalev alaealiste töötam toetus</t>
  </si>
  <si>
    <t>vaja vähemalt 2,7milj, siis 100% laenuvõimekus</t>
  </si>
  <si>
    <t>Riigieelarve toetus</t>
  </si>
  <si>
    <t xml:space="preserve"> *Tartu Valla muusikakooli kohamaks - teised OV-d koht=267,09</t>
  </si>
  <si>
    <t xml:space="preserve"> *muud tulud-ülevallaline kultuur(Jaanitule toitlustajate osamaksud)</t>
  </si>
  <si>
    <t xml:space="preserve">    Antud  toetused Hajaastustuse programm=sihtfin</t>
  </si>
  <si>
    <r>
      <t xml:space="preserve"> *Tartu Valla muusikakooli õppemaks -lapsevanem </t>
    </r>
    <r>
      <rPr>
        <sz val="10"/>
        <color rgb="FFFF0000"/>
        <rFont val="Times New Roman"/>
        <family val="1"/>
        <charset val="186"/>
      </rPr>
      <t>35,00eu</t>
    </r>
    <r>
      <rPr>
        <sz val="10"/>
        <rFont val="Times New Roman"/>
        <family val="1"/>
        <charset val="186"/>
      </rPr>
      <t>r kuu</t>
    </r>
  </si>
  <si>
    <r>
      <t xml:space="preserve"> *üür - Lähte ÜG õpilaskodu (õpilased)</t>
    </r>
    <r>
      <rPr>
        <sz val="10"/>
        <color rgb="FFFF0000"/>
        <rFont val="Times New Roman"/>
        <family val="1"/>
        <charset val="186"/>
      </rPr>
      <t xml:space="preserve"> 30eu</t>
    </r>
    <r>
      <rPr>
        <sz val="10"/>
        <rFont val="Times New Roman"/>
        <family val="1"/>
        <charset val="186"/>
      </rPr>
      <t>r kuu</t>
    </r>
  </si>
  <si>
    <r>
      <t xml:space="preserve"> *toiduraha Lähte LA-lapsevanem</t>
    </r>
    <r>
      <rPr>
        <sz val="10"/>
        <color rgb="FFFF0000"/>
        <rFont val="Times New Roman"/>
        <family val="1"/>
        <charset val="186"/>
      </rPr>
      <t>kõik päev=2,0</t>
    </r>
  </si>
  <si>
    <r>
      <t xml:space="preserve"> *õppemaks Lähte LA            </t>
    </r>
    <r>
      <rPr>
        <sz val="10"/>
        <color rgb="FFFF0000"/>
        <rFont val="Times New Roman"/>
        <family val="1"/>
        <charset val="186"/>
      </rPr>
      <t>kõik LA=58kuus</t>
    </r>
  </si>
  <si>
    <r>
      <t>Tulud elamu-kommunaal tegevusest</t>
    </r>
    <r>
      <rPr>
        <sz val="10"/>
        <rFont val="Times New Roman"/>
        <family val="1"/>
        <charset val="186"/>
      </rPr>
      <t xml:space="preserve"> ( valla korterite omatulu)</t>
    </r>
  </si>
  <si>
    <r>
      <t>Tulud üldvalitsemisest (</t>
    </r>
    <r>
      <rPr>
        <sz val="10"/>
        <rFont val="Times New Roman"/>
        <family val="1"/>
        <charset val="186"/>
      </rPr>
      <t>erisood.hüvitis JR= 220,75eur kuus+hoonest.õig tasud)</t>
    </r>
  </si>
  <si>
    <r>
      <t>Üüri- ja renditulud</t>
    </r>
    <r>
      <rPr>
        <sz val="10"/>
        <rFont val="Times New Roman"/>
        <family val="1"/>
        <charset val="186"/>
      </rPr>
      <t xml:space="preserve"> (väike-ettev+perearst rendid+kommunaalid</t>
    </r>
    <r>
      <rPr>
        <b/>
        <sz val="10"/>
        <rFont val="Times New Roman"/>
        <family val="1"/>
        <charset val="186"/>
      </rPr>
      <t>)</t>
    </r>
  </si>
  <si>
    <r>
      <t xml:space="preserve">Tulud õiguste müügist </t>
    </r>
    <r>
      <rPr>
        <sz val="10"/>
        <rFont val="Times New Roman"/>
        <family val="1"/>
        <charset val="186"/>
      </rPr>
      <t>(Juhus)</t>
    </r>
  </si>
  <si>
    <r>
      <t>Muu toodete ja teenuste müük</t>
    </r>
    <r>
      <rPr>
        <sz val="10"/>
        <rFont val="Times New Roman"/>
        <family val="1"/>
        <charset val="186"/>
      </rPr>
      <t xml:space="preserve"> </t>
    </r>
  </si>
  <si>
    <r>
      <t>tegevustoetused</t>
    </r>
    <r>
      <rPr>
        <sz val="10"/>
        <rFont val="Times New Roman"/>
        <family val="1"/>
        <charset val="186"/>
      </rPr>
      <t xml:space="preserve"> (maakonnaRK+Maarja ÕK+HMotset +Kultmin+Hmin allasut)</t>
    </r>
  </si>
  <si>
    <r>
      <t xml:space="preserve">    Kinnistute, hoonete hooldus kokku </t>
    </r>
    <r>
      <rPr>
        <sz val="10"/>
        <color rgb="FFFF0000"/>
        <rFont val="Times New Roman"/>
        <family val="1"/>
        <charset val="186"/>
      </rPr>
      <t>(Laeva +Tab töökoda+Tab garaaz)</t>
    </r>
  </si>
  <si>
    <r>
      <t xml:space="preserve">    Antud  toetused </t>
    </r>
    <r>
      <rPr>
        <sz val="10"/>
        <rFont val="Times New Roman"/>
        <family val="1"/>
        <charset val="186"/>
      </rPr>
      <t>(KÜ toetusmeede)</t>
    </r>
  </si>
  <si>
    <r>
      <t xml:space="preserve">Laeva Sotsmaja, Maarjas 3-3+3-7+Tabiveres Tuuliku5-1+Otsalava 3ja8+Tammistus 4-1+5-4 </t>
    </r>
    <r>
      <rPr>
        <i/>
        <sz val="10"/>
        <color rgb="FFFF0000"/>
        <rFont val="Times New Roman"/>
        <family val="1"/>
        <charset val="186"/>
      </rPr>
      <t>lisanduvad Lähtel Õpetaja 6-8 ja 4-7</t>
    </r>
  </si>
  <si>
    <r>
      <t xml:space="preserve">Cramo 800+Veeriku PK 2400 vibu </t>
    </r>
    <r>
      <rPr>
        <i/>
        <sz val="10"/>
        <color rgb="FFFF0000"/>
        <rFont val="Times New Roman"/>
        <family val="1"/>
        <charset val="186"/>
      </rPr>
      <t>2022EA oli Lähte spordihoone all</t>
    </r>
  </si>
  <si>
    <r>
      <t xml:space="preserve">dressid, särgid, tossud jne=5000- </t>
    </r>
    <r>
      <rPr>
        <i/>
        <sz val="10"/>
        <color rgb="FF00B0F0"/>
        <rFont val="Times New Roman"/>
        <family val="1"/>
        <charset val="186"/>
      </rPr>
      <t>4000 2022 huviharidusest</t>
    </r>
  </si>
  <si>
    <r>
      <rPr>
        <i/>
        <sz val="10"/>
        <color rgb="FF00B0F0"/>
        <rFont val="Times New Roman"/>
        <family val="1"/>
        <charset val="186"/>
      </rPr>
      <t>välisuks2500</t>
    </r>
    <r>
      <rPr>
        <i/>
        <sz val="10"/>
        <rFont val="Times New Roman"/>
        <family val="1"/>
        <charset val="186"/>
      </rPr>
      <t>+sissepääsu trepi rem4300</t>
    </r>
  </si>
  <si>
    <r>
      <t xml:space="preserve">Noorkotkaste ja kodutütarde transport lisaks 1000 ( </t>
    </r>
    <r>
      <rPr>
        <i/>
        <sz val="10"/>
        <color rgb="FFFF0000"/>
        <rFont val="Times New Roman"/>
        <family val="1"/>
        <charset val="186"/>
      </rPr>
      <t>minu lisa 2022 ei olnud eelarves üldse?-tegid taotlusi reservfondi)</t>
    </r>
  </si>
  <si>
    <r>
      <t xml:space="preserve">juht+0,5 hoidja+ </t>
    </r>
    <r>
      <rPr>
        <i/>
        <sz val="10"/>
        <color rgb="FFFF0000"/>
        <rFont val="Times New Roman"/>
        <family val="1"/>
        <charset val="186"/>
      </rPr>
      <t>Lähte naiskoori dirigent 0,3</t>
    </r>
  </si>
  <si>
    <r>
      <t xml:space="preserve">vent hooldus+maakütte on igal aastal </t>
    </r>
    <r>
      <rPr>
        <i/>
        <sz val="10"/>
        <color rgb="FFFF0000"/>
        <rFont val="Times New Roman"/>
        <family val="1"/>
        <charset val="186"/>
      </rPr>
      <t>midagi remonditud-see on probleem!!!</t>
    </r>
  </si>
  <si>
    <r>
      <t>tõlge-100+telefon120+posti laialikanne 0,15eksx11kuud=9900+toimetamine 2500x11=27500+trükk? Paberi kallinemine2000 ja küljendus 6000*</t>
    </r>
    <r>
      <rPr>
        <i/>
        <sz val="10"/>
        <color rgb="FF00B050"/>
        <rFont val="Times New Roman"/>
        <family val="1"/>
        <charset val="186"/>
      </rPr>
      <t>0,35</t>
    </r>
    <r>
      <rPr>
        <i/>
        <sz val="10"/>
        <color rgb="FFFF0000"/>
        <rFont val="Times New Roman"/>
        <family val="1"/>
        <charset val="186"/>
      </rPr>
      <t xml:space="preserve"> x11=23000</t>
    </r>
  </si>
  <si>
    <r>
      <t xml:space="preserve">Telekad metoodikaruumi 900€ ja logopeedile 500€, helitehnika saalis </t>
    </r>
    <r>
      <rPr>
        <i/>
        <sz val="10"/>
        <color rgb="FFFF0000"/>
        <rFont val="Times New Roman"/>
        <family val="1"/>
        <charset val="186"/>
      </rPr>
      <t>6900-ei 2023a</t>
    </r>
  </si>
  <si>
    <r>
      <t xml:space="preserve">Alumine koridor5000, kätepesu: koridor+kraanikausid 2500, duširuumid 1000€. </t>
    </r>
    <r>
      <rPr>
        <i/>
        <sz val="10"/>
        <color rgb="FFFF0000"/>
        <rFont val="Times New Roman"/>
        <family val="1"/>
        <charset val="186"/>
      </rPr>
      <t>Keldripõrand 20000€.-ei</t>
    </r>
  </si>
  <si>
    <r>
      <t>2500+E</t>
    </r>
    <r>
      <rPr>
        <i/>
        <sz val="10"/>
        <color rgb="FFFF0000"/>
        <rFont val="Times New Roman"/>
        <family val="1"/>
        <charset val="186"/>
      </rPr>
      <t>rasmuse jääk 20000-seda peab veel uurima???</t>
    </r>
  </si>
  <si>
    <r>
      <rPr>
        <i/>
        <sz val="10"/>
        <color rgb="FFFF0000"/>
        <rFont val="Times New Roman"/>
        <family val="1"/>
        <charset val="186"/>
      </rPr>
      <t>uus 80 bassiline akordion (2100€)</t>
    </r>
    <r>
      <rPr>
        <i/>
        <sz val="10"/>
        <rFont val="Times New Roman"/>
        <family val="1"/>
        <charset val="186"/>
      </rPr>
      <t xml:space="preserve"> 120 bassilise akordioni remont (300€),2 klaveri häälestus (200€) ja uus niisutusmasin klaveriklassi (700), 2paari kõrvaklappe (300€) pillide hooldus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</si>
</sst>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name val="Tahoma"/>
      <family val="2"/>
      <charset val="186"/>
    </font>
    <font>
      <b/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i/>
      <sz val="10"/>
      <name val="Times New Roman"/>
      <family val="1"/>
      <charset val="186"/>
    </font>
    <font>
      <b/>
      <sz val="10"/>
      <color rgb="FFFF0000"/>
      <name val="Arial"/>
      <family val="2"/>
      <charset val="186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0"/>
      <color rgb="FF00B050"/>
      <name val="Arial"/>
      <family val="2"/>
      <charset val="186"/>
    </font>
    <font>
      <i/>
      <sz val="10"/>
      <color rgb="FFFF0000"/>
      <name val="Times New Roman"/>
      <family val="1"/>
      <charset val="186"/>
    </font>
    <font>
      <b/>
      <i/>
      <sz val="10"/>
      <color rgb="FF00B0F0"/>
      <name val="Times New Roman"/>
      <family val="1"/>
      <charset val="186"/>
    </font>
    <font>
      <b/>
      <sz val="10"/>
      <color rgb="FF00B0F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rgb="FF00B0F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00B050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i/>
      <sz val="10"/>
      <color rgb="FFFFFF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0" fontId="7" fillId="0" borderId="11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 applyAlignment="0"/>
    <xf numFmtId="0" fontId="5" fillId="0" borderId="0"/>
    <xf numFmtId="0" fontId="5" fillId="0" borderId="0"/>
    <xf numFmtId="0" fontId="5" fillId="0" borderId="0" applyAlignment="0"/>
    <xf numFmtId="0" fontId="5" fillId="0" borderId="0" applyAlignment="0"/>
    <xf numFmtId="0" fontId="5" fillId="0" borderId="0"/>
    <xf numFmtId="0" fontId="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321">
    <xf numFmtId="0" fontId="0" fillId="0" borderId="0" xfId="0"/>
    <xf numFmtId="0" fontId="4" fillId="0" borderId="0" xfId="0" applyFont="1"/>
    <xf numFmtId="3" fontId="0" fillId="0" borderId="0" xfId="0" applyNumberFormat="1"/>
    <xf numFmtId="0" fontId="13" fillId="0" borderId="0" xfId="0" applyFont="1"/>
    <xf numFmtId="0" fontId="5" fillId="0" borderId="1" xfId="0" applyFont="1" applyBorder="1"/>
    <xf numFmtId="0" fontId="8" fillId="0" borderId="1" xfId="0" applyFont="1" applyBorder="1"/>
    <xf numFmtId="0" fontId="5" fillId="0" borderId="0" xfId="0" applyFont="1"/>
    <xf numFmtId="3" fontId="0" fillId="5" borderId="0" xfId="0" applyNumberFormat="1" applyFill="1"/>
    <xf numFmtId="0" fontId="8" fillId="0" borderId="0" xfId="0" applyFont="1"/>
    <xf numFmtId="3" fontId="9" fillId="0" borderId="1" xfId="0" applyNumberFormat="1" applyFont="1" applyBorder="1"/>
    <xf numFmtId="0" fontId="0" fillId="0" borderId="14" xfId="0" applyBorder="1"/>
    <xf numFmtId="0" fontId="0" fillId="5" borderId="0" xfId="0" applyFill="1"/>
    <xf numFmtId="0" fontId="15" fillId="5" borderId="1" xfId="4" applyFont="1" applyFill="1" applyBorder="1"/>
    <xf numFmtId="0" fontId="15" fillId="5" borderId="1" xfId="4" applyFont="1" applyFill="1" applyBorder="1" applyAlignment="1">
      <alignment wrapText="1"/>
    </xf>
    <xf numFmtId="3" fontId="9" fillId="5" borderId="1" xfId="0" applyNumberFormat="1" applyFont="1" applyFill="1" applyBorder="1"/>
    <xf numFmtId="3" fontId="14" fillId="5" borderId="1" xfId="0" applyNumberFormat="1" applyFont="1" applyFill="1" applyBorder="1"/>
    <xf numFmtId="0" fontId="14" fillId="0" borderId="1" xfId="4" applyFont="1" applyBorder="1" applyAlignment="1">
      <alignment horizontal="center" wrapText="1"/>
    </xf>
    <xf numFmtId="3" fontId="0" fillId="0" borderId="14" xfId="0" applyNumberFormat="1" applyBorder="1"/>
    <xf numFmtId="3" fontId="16" fillId="5" borderId="1" xfId="0" applyNumberFormat="1" applyFont="1" applyFill="1" applyBorder="1"/>
    <xf numFmtId="0" fontId="0" fillId="0" borderId="1" xfId="0" applyBorder="1"/>
    <xf numFmtId="0" fontId="22" fillId="0" borderId="1" xfId="0" applyFont="1" applyBorder="1"/>
    <xf numFmtId="0" fontId="19" fillId="5" borderId="0" xfId="0" applyFont="1" applyFill="1"/>
    <xf numFmtId="0" fontId="9" fillId="0" borderId="1" xfId="0" applyFont="1" applyBorder="1"/>
    <xf numFmtId="0" fontId="9" fillId="5" borderId="1" xfId="0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3" fontId="16" fillId="0" borderId="1" xfId="0" applyNumberFormat="1" applyFont="1" applyBorder="1"/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0" fontId="14" fillId="0" borderId="1" xfId="4" applyFont="1" applyBorder="1" applyAlignment="1">
      <alignment horizontal="center" wrapText="1"/>
    </xf>
    <xf numFmtId="0" fontId="9" fillId="0" borderId="1" xfId="0" applyFont="1" applyBorder="1"/>
    <xf numFmtId="0" fontId="14" fillId="0" borderId="2" xfId="4" applyFont="1" applyBorder="1" applyAlignment="1">
      <alignment horizontal="center" wrapText="1"/>
    </xf>
    <xf numFmtId="0" fontId="14" fillId="0" borderId="3" xfId="4" applyFont="1" applyBorder="1" applyAlignment="1">
      <alignment horizontal="center" wrapText="1"/>
    </xf>
    <xf numFmtId="0" fontId="9" fillId="0" borderId="3" xfId="4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4" fillId="0" borderId="6" xfId="4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10" fillId="0" borderId="2" xfId="0" applyNumberFormat="1" applyFont="1" applyBorder="1" applyAlignment="1">
      <alignment horizontal="right" wrapText="1"/>
    </xf>
    <xf numFmtId="0" fontId="11" fillId="5" borderId="1" xfId="0" applyFont="1" applyFill="1" applyBorder="1" applyAlignment="1">
      <alignment wrapText="1"/>
    </xf>
    <xf numFmtId="0" fontId="11" fillId="15" borderId="1" xfId="0" applyFont="1" applyFill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3" fontId="10" fillId="0" borderId="2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0" fontId="18" fillId="0" borderId="0" xfId="0" applyFont="1" applyAlignment="1">
      <alignment wrapText="1"/>
    </xf>
    <xf numFmtId="3" fontId="10" fillId="0" borderId="0" xfId="19" applyNumberFormat="1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wrapText="1"/>
    </xf>
    <xf numFmtId="3" fontId="11" fillId="15" borderId="0" xfId="0" applyNumberFormat="1" applyFont="1" applyFill="1" applyAlignment="1">
      <alignment wrapText="1"/>
    </xf>
    <xf numFmtId="3" fontId="18" fillId="0" borderId="0" xfId="0" applyNumberFormat="1" applyFont="1" applyAlignment="1">
      <alignment wrapText="1"/>
    </xf>
    <xf numFmtId="49" fontId="10" fillId="2" borderId="0" xfId="0" applyNumberFormat="1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4" fontId="10" fillId="2" borderId="0" xfId="0" applyNumberFormat="1" applyFont="1" applyFill="1" applyAlignment="1">
      <alignment horizontal="center" wrapText="1"/>
    </xf>
    <xf numFmtId="3" fontId="10" fillId="5" borderId="0" xfId="0" applyNumberFormat="1" applyFont="1" applyFill="1" applyAlignment="1">
      <alignment horizontal="right" wrapText="1"/>
    </xf>
    <xf numFmtId="3" fontId="11" fillId="5" borderId="0" xfId="0" applyNumberFormat="1" applyFont="1" applyFill="1" applyAlignment="1">
      <alignment horizontal="right" wrapText="1"/>
    </xf>
    <xf numFmtId="4" fontId="11" fillId="5" borderId="0" xfId="0" applyNumberFormat="1" applyFont="1" applyFill="1" applyAlignment="1">
      <alignment horizontal="center" wrapText="1"/>
    </xf>
    <xf numFmtId="3" fontId="11" fillId="5" borderId="0" xfId="0" applyNumberFormat="1" applyFont="1" applyFill="1" applyAlignment="1">
      <alignment wrapText="1"/>
    </xf>
    <xf numFmtId="3" fontId="11" fillId="15" borderId="1" xfId="0" applyNumberFormat="1" applyFont="1" applyFill="1" applyBorder="1" applyAlignment="1">
      <alignment wrapText="1"/>
    </xf>
    <xf numFmtId="49" fontId="11" fillId="0" borderId="6" xfId="0" applyNumberFormat="1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3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wrapText="1"/>
    </xf>
    <xf numFmtId="3" fontId="11" fillId="0" borderId="2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10" fillId="0" borderId="5" xfId="0" applyFont="1" applyBorder="1" applyAlignment="1">
      <alignment horizontal="center" wrapText="1"/>
    </xf>
    <xf numFmtId="3" fontId="10" fillId="15" borderId="1" xfId="0" applyNumberFormat="1" applyFont="1" applyFill="1" applyBorder="1" applyAlignment="1">
      <alignment wrapText="1"/>
    </xf>
    <xf numFmtId="49" fontId="10" fillId="5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wrapText="1"/>
    </xf>
    <xf numFmtId="3" fontId="10" fillId="5" borderId="2" xfId="0" applyNumberFormat="1" applyFont="1" applyFill="1" applyBorder="1" applyAlignment="1">
      <alignment horizontal="right" wrapText="1"/>
    </xf>
    <xf numFmtId="3" fontId="10" fillId="5" borderId="1" xfId="0" applyNumberFormat="1" applyFont="1" applyFill="1" applyBorder="1" applyAlignment="1">
      <alignment horizontal="right" wrapText="1"/>
    </xf>
    <xf numFmtId="3" fontId="10" fillId="5" borderId="1" xfId="0" applyNumberFormat="1" applyFont="1" applyFill="1" applyBorder="1" applyAlignment="1">
      <alignment horizontal="center" wrapText="1"/>
    </xf>
    <xf numFmtId="3" fontId="10" fillId="5" borderId="2" xfId="0" applyNumberFormat="1" applyFont="1" applyFill="1" applyBorder="1" applyAlignment="1">
      <alignment wrapText="1"/>
    </xf>
    <xf numFmtId="3" fontId="10" fillId="5" borderId="1" xfId="0" applyNumberFormat="1" applyFont="1" applyFill="1" applyBorder="1" applyAlignment="1">
      <alignment wrapText="1"/>
    </xf>
    <xf numFmtId="9" fontId="18" fillId="0" borderId="0" xfId="14" applyFont="1" applyAlignment="1">
      <alignment wrapText="1"/>
    </xf>
    <xf numFmtId="3" fontId="18" fillId="0" borderId="0" xfId="14" applyNumberFormat="1" applyFont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 wrapText="1"/>
    </xf>
    <xf numFmtId="3" fontId="11" fillId="12" borderId="1" xfId="0" applyNumberFormat="1" applyFont="1" applyFill="1" applyBorder="1" applyAlignment="1">
      <alignment wrapText="1"/>
    </xf>
    <xf numFmtId="2" fontId="11" fillId="0" borderId="0" xfId="0" applyNumberFormat="1" applyFont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wrapText="1"/>
    </xf>
    <xf numFmtId="3" fontId="10" fillId="0" borderId="2" xfId="0" applyNumberFormat="1" applyFont="1" applyBorder="1" applyAlignment="1">
      <alignment wrapText="1"/>
    </xf>
    <xf numFmtId="3" fontId="10" fillId="15" borderId="2" xfId="0" applyNumberFormat="1" applyFont="1" applyFill="1" applyBorder="1" applyAlignment="1">
      <alignment wrapText="1"/>
    </xf>
    <xf numFmtId="3" fontId="10" fillId="15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>
      <alignment horizontal="right" wrapText="1"/>
    </xf>
    <xf numFmtId="0" fontId="11" fillId="3" borderId="1" xfId="0" applyFont="1" applyFill="1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49" fontId="10" fillId="0" borderId="6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3" fontId="18" fillId="0" borderId="0" xfId="14" applyNumberFormat="1" applyFont="1" applyFill="1" applyAlignment="1">
      <alignment wrapText="1"/>
    </xf>
    <xf numFmtId="0" fontId="12" fillId="0" borderId="0" xfId="0" applyFont="1" applyAlignment="1">
      <alignment wrapText="1"/>
    </xf>
    <xf numFmtId="3" fontId="10" fillId="12" borderId="1" xfId="0" applyNumberFormat="1" applyFont="1" applyFill="1" applyBorder="1" applyAlignment="1">
      <alignment wrapText="1"/>
    </xf>
    <xf numFmtId="3" fontId="10" fillId="12" borderId="2" xfId="0" applyNumberFormat="1" applyFont="1" applyFill="1" applyBorder="1" applyAlignment="1">
      <alignment wrapText="1"/>
    </xf>
    <xf numFmtId="3" fontId="23" fillId="0" borderId="0" xfId="14" applyNumberFormat="1" applyFont="1" applyAlignment="1">
      <alignment wrapText="1"/>
    </xf>
    <xf numFmtId="3" fontId="11" fillId="0" borderId="1" xfId="3" applyNumberFormat="1" applyFont="1" applyBorder="1" applyAlignment="1">
      <alignment horizontal="right" wrapText="1"/>
    </xf>
    <xf numFmtId="0" fontId="10" fillId="5" borderId="1" xfId="0" applyFont="1" applyFill="1" applyBorder="1" applyAlignment="1">
      <alignment horizontal="left" wrapText="1"/>
    </xf>
    <xf numFmtId="3" fontId="12" fillId="0" borderId="0" xfId="0" applyNumberFormat="1" applyFont="1" applyAlignment="1">
      <alignment wrapText="1"/>
    </xf>
    <xf numFmtId="3" fontId="10" fillId="0" borderId="0" xfId="0" applyNumberFormat="1" applyFont="1" applyAlignment="1">
      <alignment wrapText="1"/>
    </xf>
    <xf numFmtId="9" fontId="18" fillId="0" borderId="0" xfId="14" applyFont="1" applyFill="1" applyAlignment="1">
      <alignment wrapText="1"/>
    </xf>
    <xf numFmtId="49" fontId="10" fillId="5" borderId="6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wrapText="1"/>
    </xf>
    <xf numFmtId="3" fontId="10" fillId="5" borderId="7" xfId="0" applyNumberFormat="1" applyFont="1" applyFill="1" applyBorder="1" applyAlignment="1">
      <alignment horizontal="right" wrapText="1"/>
    </xf>
    <xf numFmtId="3" fontId="10" fillId="5" borderId="6" xfId="0" applyNumberFormat="1" applyFont="1" applyFill="1" applyBorder="1" applyAlignment="1">
      <alignment horizontal="right" wrapText="1"/>
    </xf>
    <xf numFmtId="3" fontId="10" fillId="5" borderId="6" xfId="0" applyNumberFormat="1" applyFont="1" applyFill="1" applyBorder="1" applyAlignment="1">
      <alignment wrapText="1"/>
    </xf>
    <xf numFmtId="9" fontId="24" fillId="0" borderId="0" xfId="14" applyFont="1" applyAlignment="1">
      <alignment wrapText="1"/>
    </xf>
    <xf numFmtId="3" fontId="25" fillId="0" borderId="0" xfId="0" applyNumberFormat="1" applyFont="1" applyAlignment="1">
      <alignment wrapText="1"/>
    </xf>
    <xf numFmtId="0" fontId="11" fillId="0" borderId="1" xfId="0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3" fontId="11" fillId="15" borderId="2" xfId="0" applyNumberFormat="1" applyFont="1" applyFill="1" applyBorder="1" applyAlignment="1">
      <alignment wrapText="1"/>
    </xf>
    <xf numFmtId="49" fontId="10" fillId="2" borderId="9" xfId="0" applyNumberFormat="1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4" fontId="10" fillId="2" borderId="9" xfId="0" applyNumberFormat="1" applyFont="1" applyFill="1" applyBorder="1" applyAlignment="1">
      <alignment horizontal="center" wrapText="1"/>
    </xf>
    <xf numFmtId="3" fontId="10" fillId="5" borderId="5" xfId="0" applyNumberFormat="1" applyFont="1" applyFill="1" applyBorder="1" applyAlignment="1">
      <alignment horizontal="right" wrapText="1"/>
    </xf>
    <xf numFmtId="3" fontId="11" fillId="5" borderId="9" xfId="0" applyNumberFormat="1" applyFont="1" applyFill="1" applyBorder="1" applyAlignment="1">
      <alignment horizontal="right" wrapText="1"/>
    </xf>
    <xf numFmtId="0" fontId="11" fillId="5" borderId="9" xfId="0" applyFont="1" applyFill="1" applyBorder="1" applyAlignment="1">
      <alignment wrapText="1"/>
    </xf>
    <xf numFmtId="3" fontId="11" fillId="5" borderId="1" xfId="0" applyNumberFormat="1" applyFont="1" applyFill="1" applyBorder="1" applyAlignment="1">
      <alignment horizontal="right" wrapText="1"/>
    </xf>
    <xf numFmtId="3" fontId="11" fillId="5" borderId="2" xfId="0" applyNumberFormat="1" applyFont="1" applyFill="1" applyBorder="1" applyAlignment="1">
      <alignment wrapText="1"/>
    </xf>
    <xf numFmtId="3" fontId="11" fillId="5" borderId="1" xfId="0" applyNumberFormat="1" applyFont="1" applyFill="1" applyBorder="1" applyAlignment="1">
      <alignment wrapText="1"/>
    </xf>
    <xf numFmtId="3" fontId="10" fillId="4" borderId="1" xfId="0" applyNumberFormat="1" applyFont="1" applyFill="1" applyBorder="1" applyAlignment="1">
      <alignment wrapText="1"/>
    </xf>
    <xf numFmtId="3" fontId="24" fillId="0" borderId="0" xfId="14" applyNumberFormat="1" applyFont="1" applyAlignment="1">
      <alignment wrapText="1"/>
    </xf>
    <xf numFmtId="3" fontId="10" fillId="9" borderId="1" xfId="0" applyNumberFormat="1" applyFont="1" applyFill="1" applyBorder="1" applyAlignment="1">
      <alignment wrapText="1"/>
    </xf>
    <xf numFmtId="3" fontId="11" fillId="10" borderId="1" xfId="0" applyNumberFormat="1" applyFont="1" applyFill="1" applyBorder="1" applyAlignment="1">
      <alignment wrapText="1"/>
    </xf>
    <xf numFmtId="3" fontId="11" fillId="8" borderId="1" xfId="0" applyNumberFormat="1" applyFont="1" applyFill="1" applyBorder="1" applyAlignment="1">
      <alignment wrapText="1"/>
    </xf>
    <xf numFmtId="3" fontId="11" fillId="9" borderId="1" xfId="0" applyNumberFormat="1" applyFont="1" applyFill="1" applyBorder="1" applyAlignment="1">
      <alignment wrapText="1"/>
    </xf>
    <xf numFmtId="9" fontId="24" fillId="15" borderId="0" xfId="14" applyFont="1" applyFill="1" applyAlignment="1">
      <alignment wrapText="1"/>
    </xf>
    <xf numFmtId="0" fontId="11" fillId="0" borderId="2" xfId="0" applyFont="1" applyBorder="1" applyAlignment="1">
      <alignment horizontal="center" wrapText="1"/>
    </xf>
    <xf numFmtId="3" fontId="11" fillId="9" borderId="2" xfId="0" applyNumberFormat="1" applyFont="1" applyFill="1" applyBorder="1" applyAlignment="1">
      <alignment wrapText="1"/>
    </xf>
    <xf numFmtId="49" fontId="10" fillId="4" borderId="1" xfId="0" applyNumberFormat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wrapText="1"/>
    </xf>
    <xf numFmtId="3" fontId="10" fillId="4" borderId="2" xfId="0" applyNumberFormat="1" applyFont="1" applyFill="1" applyBorder="1" applyAlignment="1">
      <alignment horizontal="right" wrapText="1"/>
    </xf>
    <xf numFmtId="3" fontId="11" fillId="4" borderId="1" xfId="0" applyNumberFormat="1" applyFont="1" applyFill="1" applyBorder="1" applyAlignment="1">
      <alignment horizontal="right" wrapText="1"/>
    </xf>
    <xf numFmtId="3" fontId="10" fillId="4" borderId="1" xfId="0" applyNumberFormat="1" applyFont="1" applyFill="1" applyBorder="1" applyAlignment="1">
      <alignment horizontal="right" wrapText="1"/>
    </xf>
    <xf numFmtId="3" fontId="10" fillId="4" borderId="2" xfId="0" applyNumberFormat="1" applyFont="1" applyFill="1" applyBorder="1" applyAlignment="1">
      <alignment wrapText="1"/>
    </xf>
    <xf numFmtId="3" fontId="18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3" fontId="18" fillId="15" borderId="1" xfId="0" applyNumberFormat="1" applyFont="1" applyFill="1" applyBorder="1" applyAlignment="1">
      <alignment wrapText="1"/>
    </xf>
    <xf numFmtId="4" fontId="18" fillId="0" borderId="0" xfId="0" applyNumberFormat="1" applyFont="1" applyAlignment="1">
      <alignment wrapText="1"/>
    </xf>
    <xf numFmtId="3" fontId="18" fillId="0" borderId="2" xfId="0" applyNumberFormat="1" applyFont="1" applyBorder="1" applyAlignment="1">
      <alignment horizontal="righ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horizontal="right" wrapText="1"/>
    </xf>
    <xf numFmtId="0" fontId="11" fillId="4" borderId="1" xfId="0" applyFont="1" applyFill="1" applyBorder="1" applyAlignment="1">
      <alignment horizontal="left" wrapText="1"/>
    </xf>
    <xf numFmtId="3" fontId="11" fillId="4" borderId="2" xfId="0" applyNumberFormat="1" applyFont="1" applyFill="1" applyBorder="1" applyAlignment="1">
      <alignment wrapText="1"/>
    </xf>
    <xf numFmtId="3" fontId="11" fillId="4" borderId="1" xfId="0" applyNumberFormat="1" applyFont="1" applyFill="1" applyBorder="1" applyAlignment="1">
      <alignment wrapText="1"/>
    </xf>
    <xf numFmtId="49" fontId="10" fillId="4" borderId="1" xfId="0" quotePrefix="1" applyNumberFormat="1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left" wrapText="1"/>
    </xf>
    <xf numFmtId="3" fontId="11" fillId="8" borderId="2" xfId="0" applyNumberFormat="1" applyFont="1" applyFill="1" applyBorder="1" applyAlignment="1">
      <alignment wrapText="1"/>
    </xf>
    <xf numFmtId="0" fontId="11" fillId="3" borderId="0" xfId="0" applyFont="1" applyFill="1" applyAlignment="1">
      <alignment wrapText="1"/>
    </xf>
    <xf numFmtId="3" fontId="18" fillId="14" borderId="0" xfId="14" applyNumberFormat="1" applyFont="1" applyFill="1" applyAlignment="1">
      <alignment wrapText="1"/>
    </xf>
    <xf numFmtId="0" fontId="11" fillId="12" borderId="0" xfId="0" applyFont="1" applyFill="1" applyAlignment="1">
      <alignment wrapText="1"/>
    </xf>
    <xf numFmtId="3" fontId="10" fillId="8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3" fontId="23" fillId="0" borderId="0" xfId="0" applyNumberFormat="1" applyFont="1" applyAlignment="1">
      <alignment wrapText="1"/>
    </xf>
    <xf numFmtId="0" fontId="11" fillId="3" borderId="1" xfId="0" applyFont="1" applyFill="1" applyBorder="1" applyAlignment="1">
      <alignment horizontal="left" wrapText="1"/>
    </xf>
    <xf numFmtId="0" fontId="18" fillId="0" borderId="2" xfId="0" applyFont="1" applyBorder="1" applyAlignment="1">
      <alignment wrapText="1"/>
    </xf>
    <xf numFmtId="49" fontId="11" fillId="3" borderId="1" xfId="0" applyNumberFormat="1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wrapText="1"/>
    </xf>
    <xf numFmtId="1" fontId="18" fillId="0" borderId="1" xfId="0" applyNumberFormat="1" applyFont="1" applyBorder="1" applyAlignment="1">
      <alignment wrapText="1"/>
    </xf>
    <xf numFmtId="49" fontId="10" fillId="3" borderId="1" xfId="0" applyNumberFormat="1" applyFont="1" applyFill="1" applyBorder="1" applyAlignment="1">
      <alignment horizontal="left" wrapText="1"/>
    </xf>
    <xf numFmtId="49" fontId="10" fillId="3" borderId="1" xfId="0" quotePrefix="1" applyNumberFormat="1" applyFont="1" applyFill="1" applyBorder="1" applyAlignment="1">
      <alignment horizontal="left" wrapText="1"/>
    </xf>
    <xf numFmtId="3" fontId="10" fillId="10" borderId="1" xfId="0" applyNumberFormat="1" applyFont="1" applyFill="1" applyBorder="1" applyAlignment="1">
      <alignment wrapText="1"/>
    </xf>
    <xf numFmtId="3" fontId="10" fillId="12" borderId="0" xfId="0" applyNumberFormat="1" applyFont="1" applyFill="1" applyAlignment="1">
      <alignment wrapText="1"/>
    </xf>
    <xf numFmtId="49" fontId="18" fillId="0" borderId="1" xfId="0" applyNumberFormat="1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3" fontId="27" fillId="0" borderId="1" xfId="0" applyNumberFormat="1" applyFont="1" applyBorder="1" applyAlignment="1">
      <alignment wrapText="1"/>
    </xf>
    <xf numFmtId="49" fontId="10" fillId="4" borderId="0" xfId="0" applyNumberFormat="1" applyFont="1" applyFill="1" applyAlignment="1">
      <alignment horizontal="left" wrapText="1"/>
    </xf>
    <xf numFmtId="0" fontId="10" fillId="4" borderId="2" xfId="0" applyFont="1" applyFill="1" applyBorder="1" applyAlignment="1">
      <alignment wrapText="1"/>
    </xf>
    <xf numFmtId="3" fontId="10" fillId="4" borderId="0" xfId="0" applyNumberFormat="1" applyFont="1" applyFill="1" applyAlignment="1">
      <alignment wrapText="1"/>
    </xf>
    <xf numFmtId="49" fontId="10" fillId="5" borderId="13" xfId="1" quotePrefix="1" applyNumberFormat="1" applyFont="1" applyFill="1" applyBorder="1" applyAlignment="1">
      <alignment wrapText="1"/>
    </xf>
    <xf numFmtId="49" fontId="18" fillId="3" borderId="1" xfId="0" applyNumberFormat="1" applyFont="1" applyFill="1" applyBorder="1" applyAlignment="1">
      <alignment horizontal="left" wrapText="1"/>
    </xf>
    <xf numFmtId="0" fontId="18" fillId="3" borderId="1" xfId="0" applyFont="1" applyFill="1" applyBorder="1" applyAlignment="1">
      <alignment horizontal="left" wrapText="1"/>
    </xf>
    <xf numFmtId="0" fontId="18" fillId="3" borderId="1" xfId="0" applyFont="1" applyFill="1" applyBorder="1" applyAlignment="1">
      <alignment wrapText="1"/>
    </xf>
    <xf numFmtId="49" fontId="11" fillId="0" borderId="1" xfId="0" quotePrefix="1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wrapText="1"/>
    </xf>
    <xf numFmtId="0" fontId="11" fillId="9" borderId="0" xfId="0" applyFont="1" applyFill="1" applyAlignment="1">
      <alignment wrapText="1"/>
    </xf>
    <xf numFmtId="3" fontId="11" fillId="9" borderId="0" xfId="0" applyNumberFormat="1" applyFont="1" applyFill="1" applyAlignment="1">
      <alignment wrapText="1"/>
    </xf>
    <xf numFmtId="3" fontId="11" fillId="10" borderId="2" xfId="0" applyNumberFormat="1" applyFont="1" applyFill="1" applyBorder="1" applyAlignment="1">
      <alignment wrapText="1"/>
    </xf>
    <xf numFmtId="49" fontId="18" fillId="3" borderId="1" xfId="0" quotePrefix="1" applyNumberFormat="1" applyFont="1" applyFill="1" applyBorder="1" applyAlignment="1">
      <alignment horizontal="left" wrapText="1"/>
    </xf>
    <xf numFmtId="3" fontId="12" fillId="4" borderId="1" xfId="0" applyNumberFormat="1" applyFont="1" applyFill="1" applyBorder="1" applyAlignment="1">
      <alignment horizontal="right" wrapText="1"/>
    </xf>
    <xf numFmtId="49" fontId="10" fillId="0" borderId="1" xfId="0" quotePrefix="1" applyNumberFormat="1" applyFont="1" applyBorder="1" applyAlignment="1">
      <alignment horizontal="left" wrapText="1"/>
    </xf>
    <xf numFmtId="49" fontId="11" fillId="3" borderId="1" xfId="0" quotePrefix="1" applyNumberFormat="1" applyFont="1" applyFill="1" applyBorder="1" applyAlignment="1">
      <alignment horizontal="left" wrapText="1"/>
    </xf>
    <xf numFmtId="3" fontId="18" fillId="0" borderId="0" xfId="25" applyNumberFormat="1" applyFont="1" applyFill="1" applyAlignment="1">
      <alignment wrapText="1"/>
    </xf>
    <xf numFmtId="3" fontId="28" fillId="0" borderId="0" xfId="25" applyNumberFormat="1" applyFont="1" applyFill="1" applyAlignment="1">
      <alignment wrapText="1"/>
    </xf>
    <xf numFmtId="3" fontId="11" fillId="12" borderId="2" xfId="0" applyNumberFormat="1" applyFont="1" applyFill="1" applyBorder="1" applyAlignment="1">
      <alignment wrapText="1"/>
    </xf>
    <xf numFmtId="3" fontId="23" fillId="0" borderId="0" xfId="25" applyNumberFormat="1" applyFont="1" applyFill="1" applyAlignment="1">
      <alignment wrapText="1"/>
    </xf>
    <xf numFmtId="0" fontId="10" fillId="4" borderId="0" xfId="0" applyFont="1" applyFill="1" applyAlignment="1">
      <alignment wrapText="1"/>
    </xf>
    <xf numFmtId="0" fontId="11" fillId="3" borderId="2" xfId="0" applyFont="1" applyFill="1" applyBorder="1" applyAlignment="1">
      <alignment wrapText="1"/>
    </xf>
    <xf numFmtId="3" fontId="29" fillId="0" borderId="0" xfId="0" applyNumberFormat="1" applyFont="1" applyAlignment="1">
      <alignment wrapText="1"/>
    </xf>
    <xf numFmtId="9" fontId="18" fillId="0" borderId="0" xfId="25" applyFont="1" applyFill="1" applyAlignment="1">
      <alignment wrapText="1"/>
    </xf>
    <xf numFmtId="0" fontId="30" fillId="0" borderId="0" xfId="0" applyFont="1" applyAlignment="1">
      <alignment wrapText="1"/>
    </xf>
    <xf numFmtId="0" fontId="11" fillId="13" borderId="0" xfId="0" applyFont="1" applyFill="1" applyAlignment="1">
      <alignment wrapText="1"/>
    </xf>
    <xf numFmtId="9" fontId="11" fillId="0" borderId="0" xfId="0" applyNumberFormat="1" applyFont="1" applyAlignment="1">
      <alignment wrapText="1"/>
    </xf>
    <xf numFmtId="3" fontId="31" fillId="0" borderId="0" xfId="25" applyNumberFormat="1" applyFont="1" applyFill="1" applyAlignment="1">
      <alignment wrapText="1"/>
    </xf>
    <xf numFmtId="0" fontId="32" fillId="0" borderId="0" xfId="0" applyFont="1" applyAlignment="1">
      <alignment wrapText="1"/>
    </xf>
    <xf numFmtId="9" fontId="32" fillId="0" borderId="0" xfId="25" applyFont="1" applyFill="1" applyBorder="1" applyAlignment="1">
      <alignment wrapText="1"/>
    </xf>
    <xf numFmtId="3" fontId="23" fillId="15" borderId="1" xfId="0" applyNumberFormat="1" applyFont="1" applyFill="1" applyBorder="1" applyAlignment="1">
      <alignment wrapText="1"/>
    </xf>
    <xf numFmtId="9" fontId="23" fillId="0" borderId="0" xfId="14" applyFont="1" applyAlignment="1">
      <alignment wrapText="1"/>
    </xf>
    <xf numFmtId="3" fontId="33" fillId="0" borderId="1" xfId="0" applyNumberFormat="1" applyFont="1" applyBorder="1" applyAlignment="1">
      <alignment horizontal="right" wrapText="1"/>
    </xf>
    <xf numFmtId="3" fontId="27" fillId="0" borderId="1" xfId="0" applyNumberFormat="1" applyFont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right" wrapText="1"/>
    </xf>
    <xf numFmtId="0" fontId="10" fillId="0" borderId="2" xfId="0" applyFont="1" applyBorder="1" applyAlignment="1">
      <alignment wrapText="1"/>
    </xf>
    <xf numFmtId="3" fontId="11" fillId="11" borderId="1" xfId="0" applyNumberFormat="1" applyFont="1" applyFill="1" applyBorder="1" applyAlignment="1">
      <alignment wrapText="1"/>
    </xf>
    <xf numFmtId="3" fontId="18" fillId="5" borderId="0" xfId="25" applyNumberFormat="1" applyFont="1" applyFill="1" applyAlignment="1">
      <alignment wrapText="1"/>
    </xf>
    <xf numFmtId="3" fontId="18" fillId="15" borderId="2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9" fontId="28" fillId="0" borderId="0" xfId="14" applyFont="1" applyAlignment="1">
      <alignment wrapText="1"/>
    </xf>
    <xf numFmtId="49" fontId="18" fillId="0" borderId="1" xfId="0" quotePrefix="1" applyNumberFormat="1" applyFont="1" applyBorder="1" applyAlignment="1">
      <alignment horizontal="left" wrapText="1"/>
    </xf>
    <xf numFmtId="0" fontId="28" fillId="0" borderId="0" xfId="0" applyFont="1" applyAlignment="1">
      <alignment wrapText="1"/>
    </xf>
    <xf numFmtId="3" fontId="10" fillId="11" borderId="1" xfId="0" applyNumberFormat="1" applyFont="1" applyFill="1" applyBorder="1" applyAlignment="1">
      <alignment wrapText="1"/>
    </xf>
    <xf numFmtId="3" fontId="10" fillId="8" borderId="2" xfId="0" applyNumberFormat="1" applyFont="1" applyFill="1" applyBorder="1" applyAlignment="1">
      <alignment wrapText="1"/>
    </xf>
    <xf numFmtId="3" fontId="11" fillId="11" borderId="2" xfId="0" applyNumberFormat="1" applyFont="1" applyFill="1" applyBorder="1" applyAlignment="1">
      <alignment wrapText="1"/>
    </xf>
    <xf numFmtId="3" fontId="11" fillId="4" borderId="2" xfId="0" applyNumberFormat="1" applyFont="1" applyFill="1" applyBorder="1" applyAlignment="1">
      <alignment horizontal="right" wrapText="1"/>
    </xf>
    <xf numFmtId="2" fontId="18" fillId="0" borderId="0" xfId="0" applyNumberFormat="1" applyFont="1" applyAlignment="1">
      <alignment wrapText="1"/>
    </xf>
    <xf numFmtId="3" fontId="34" fillId="0" borderId="2" xfId="0" applyNumberFormat="1" applyFont="1" applyBorder="1" applyAlignment="1">
      <alignment horizontal="right" wrapText="1"/>
    </xf>
    <xf numFmtId="3" fontId="34" fillId="0" borderId="1" xfId="0" applyNumberFormat="1" applyFont="1" applyBorder="1" applyAlignment="1">
      <alignment horizontal="right" wrapText="1"/>
    </xf>
    <xf numFmtId="0" fontId="18" fillId="0" borderId="1" xfId="3" applyFont="1" applyBorder="1" applyAlignment="1">
      <alignment wrapText="1"/>
    </xf>
    <xf numFmtId="1" fontId="18" fillId="0" borderId="1" xfId="0" applyNumberFormat="1" applyFont="1" applyBorder="1" applyAlignment="1">
      <alignment horizontal="right" wrapText="1"/>
    </xf>
    <xf numFmtId="0" fontId="10" fillId="3" borderId="2" xfId="0" applyFont="1" applyFill="1" applyBorder="1" applyAlignment="1">
      <alignment wrapText="1"/>
    </xf>
    <xf numFmtId="49" fontId="10" fillId="3" borderId="9" xfId="0" quotePrefix="1" applyNumberFormat="1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wrapText="1"/>
    </xf>
    <xf numFmtId="0" fontId="10" fillId="8" borderId="0" xfId="0" applyFont="1" applyFill="1" applyAlignment="1">
      <alignment wrapText="1"/>
    </xf>
    <xf numFmtId="3" fontId="10" fillId="8" borderId="0" xfId="0" applyNumberFormat="1" applyFont="1" applyFill="1" applyAlignment="1">
      <alignment wrapText="1"/>
    </xf>
    <xf numFmtId="49" fontId="27" fillId="0" borderId="1" xfId="0" applyNumberFormat="1" applyFont="1" applyBorder="1" applyAlignment="1">
      <alignment horizontal="left" wrapText="1"/>
    </xf>
    <xf numFmtId="49" fontId="35" fillId="4" borderId="1" xfId="0" applyNumberFormat="1" applyFont="1" applyFill="1" applyBorder="1" applyAlignment="1">
      <alignment horizontal="left" wrapText="1"/>
    </xf>
    <xf numFmtId="49" fontId="35" fillId="4" borderId="1" xfId="0" quotePrefix="1" applyNumberFormat="1" applyFont="1" applyFill="1" applyBorder="1" applyAlignment="1">
      <alignment horizontal="left" wrapText="1"/>
    </xf>
    <xf numFmtId="0" fontId="10" fillId="4" borderId="6" xfId="0" applyFont="1" applyFill="1" applyBorder="1" applyAlignment="1">
      <alignment wrapText="1"/>
    </xf>
    <xf numFmtId="0" fontId="27" fillId="0" borderId="9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18" fillId="4" borderId="1" xfId="0" applyFont="1" applyFill="1" applyBorder="1" applyAlignment="1">
      <alignment horizontal="left" wrapText="1"/>
    </xf>
    <xf numFmtId="0" fontId="18" fillId="12" borderId="0" xfId="0" applyFont="1" applyFill="1" applyAlignment="1">
      <alignment wrapText="1"/>
    </xf>
    <xf numFmtId="0" fontId="11" fillId="0" borderId="6" xfId="0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36" fillId="0" borderId="2" xfId="0" applyFont="1" applyBorder="1" applyAlignment="1">
      <alignment horizontal="left" wrapText="1"/>
    </xf>
    <xf numFmtId="3" fontId="26" fillId="0" borderId="0" xfId="0" applyNumberFormat="1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11" fillId="8" borderId="0" xfId="0" applyFont="1" applyFill="1" applyAlignment="1">
      <alignment wrapText="1"/>
    </xf>
    <xf numFmtId="3" fontId="11" fillId="8" borderId="0" xfId="0" applyNumberFormat="1" applyFont="1" applyFill="1" applyAlignment="1">
      <alignment wrapText="1"/>
    </xf>
    <xf numFmtId="3" fontId="11" fillId="4" borderId="0" xfId="0" applyNumberFormat="1" applyFont="1" applyFill="1" applyAlignment="1">
      <alignment wrapText="1"/>
    </xf>
    <xf numFmtId="3" fontId="11" fillId="10" borderId="0" xfId="0" applyNumberFormat="1" applyFont="1" applyFill="1" applyAlignment="1">
      <alignment wrapText="1"/>
    </xf>
    <xf numFmtId="3" fontId="18" fillId="10" borderId="1" xfId="0" applyNumberFormat="1" applyFont="1" applyFill="1" applyBorder="1" applyAlignment="1">
      <alignment wrapText="1"/>
    </xf>
    <xf numFmtId="3" fontId="18" fillId="8" borderId="1" xfId="0" applyNumberFormat="1" applyFont="1" applyFill="1" applyBorder="1" applyAlignment="1">
      <alignment wrapText="1"/>
    </xf>
    <xf numFmtId="49" fontId="10" fillId="9" borderId="1" xfId="0" applyNumberFormat="1" applyFont="1" applyFill="1" applyBorder="1" applyAlignment="1">
      <alignment horizontal="left" wrapText="1"/>
    </xf>
    <xf numFmtId="0" fontId="10" fillId="9" borderId="1" xfId="0" applyFont="1" applyFill="1" applyBorder="1" applyAlignment="1">
      <alignment horizontal="left" wrapText="1"/>
    </xf>
    <xf numFmtId="0" fontId="10" fillId="9" borderId="1" xfId="0" applyFont="1" applyFill="1" applyBorder="1" applyAlignment="1">
      <alignment wrapText="1"/>
    </xf>
    <xf numFmtId="3" fontId="10" fillId="9" borderId="1" xfId="0" applyNumberFormat="1" applyFont="1" applyFill="1" applyBorder="1" applyAlignment="1">
      <alignment horizontal="right" wrapText="1"/>
    </xf>
    <xf numFmtId="3" fontId="11" fillId="9" borderId="1" xfId="0" applyNumberFormat="1" applyFont="1" applyFill="1" applyBorder="1" applyAlignment="1">
      <alignment horizontal="right" wrapText="1"/>
    </xf>
    <xf numFmtId="49" fontId="18" fillId="0" borderId="1" xfId="0" quotePrefix="1" applyNumberFormat="1" applyFont="1" applyBorder="1" applyAlignment="1">
      <alignment horizontal="right" wrapText="1"/>
    </xf>
    <xf numFmtId="3" fontId="12" fillId="15" borderId="1" xfId="0" applyNumberFormat="1" applyFont="1" applyFill="1" applyBorder="1" applyAlignment="1">
      <alignment wrapText="1"/>
    </xf>
    <xf numFmtId="49" fontId="18" fillId="0" borderId="1" xfId="0" applyNumberFormat="1" applyFont="1" applyBorder="1" applyAlignment="1">
      <alignment horizontal="right" wrapText="1"/>
    </xf>
    <xf numFmtId="0" fontId="11" fillId="8" borderId="1" xfId="0" applyFont="1" applyFill="1" applyBorder="1" applyAlignment="1">
      <alignment wrapText="1"/>
    </xf>
    <xf numFmtId="0" fontId="11" fillId="12" borderId="1" xfId="0" applyFont="1" applyFill="1" applyBorder="1" applyAlignment="1">
      <alignment wrapText="1"/>
    </xf>
    <xf numFmtId="9" fontId="23" fillId="0" borderId="0" xfId="25" applyFont="1" applyFill="1" applyAlignment="1">
      <alignment wrapText="1"/>
    </xf>
    <xf numFmtId="3" fontId="18" fillId="0" borderId="1" xfId="0" applyNumberFormat="1" applyFont="1" applyBorder="1" applyAlignment="1">
      <alignment horizontal="left" wrapText="1"/>
    </xf>
    <xf numFmtId="3" fontId="11" fillId="9" borderId="0" xfId="14" applyNumberFormat="1" applyFont="1" applyFill="1" applyAlignment="1">
      <alignment wrapText="1"/>
    </xf>
    <xf numFmtId="3" fontId="10" fillId="9" borderId="2" xfId="0" applyNumberFormat="1" applyFont="1" applyFill="1" applyBorder="1" applyAlignment="1">
      <alignment wrapText="1"/>
    </xf>
    <xf numFmtId="3" fontId="10" fillId="10" borderId="2" xfId="0" applyNumberFormat="1" applyFont="1" applyFill="1" applyBorder="1" applyAlignment="1">
      <alignment wrapText="1"/>
    </xf>
    <xf numFmtId="0" fontId="11" fillId="5" borderId="0" xfId="0" applyFont="1" applyFill="1" applyAlignment="1">
      <alignment wrapText="1"/>
    </xf>
    <xf numFmtId="3" fontId="10" fillId="11" borderId="2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left" wrapText="1"/>
    </xf>
    <xf numFmtId="4" fontId="10" fillId="2" borderId="1" xfId="0" applyNumberFormat="1" applyFont="1" applyFill="1" applyBorder="1" applyAlignment="1">
      <alignment horizontal="left" wrapText="1"/>
    </xf>
    <xf numFmtId="0" fontId="11" fillId="5" borderId="2" xfId="0" applyFont="1" applyFill="1" applyBorder="1" applyAlignment="1">
      <alignment wrapText="1"/>
    </xf>
    <xf numFmtId="3" fontId="18" fillId="12" borderId="0" xfId="0" applyNumberFormat="1" applyFont="1" applyFill="1" applyAlignment="1">
      <alignment wrapText="1"/>
    </xf>
    <xf numFmtId="49" fontId="11" fillId="0" borderId="6" xfId="0" quotePrefix="1" applyNumberFormat="1" applyFont="1" applyBorder="1" applyAlignment="1">
      <alignment horizontal="left" wrapText="1"/>
    </xf>
    <xf numFmtId="49" fontId="11" fillId="6" borderId="1" xfId="0" quotePrefix="1" applyNumberFormat="1" applyFont="1" applyFill="1" applyBorder="1" applyAlignment="1">
      <alignment horizontal="left" wrapText="1"/>
    </xf>
    <xf numFmtId="0" fontId="11" fillId="7" borderId="1" xfId="0" applyFont="1" applyFill="1" applyBorder="1" applyAlignment="1">
      <alignment wrapText="1"/>
    </xf>
    <xf numFmtId="0" fontId="10" fillId="0" borderId="0" xfId="19" applyFont="1" applyAlignment="1">
      <alignment horizontal="center" wrapText="1"/>
    </xf>
    <xf numFmtId="0" fontId="35" fillId="0" borderId="0" xfId="19" applyFont="1" applyAlignment="1">
      <alignment wrapText="1"/>
    </xf>
    <xf numFmtId="0" fontId="10" fillId="0" borderId="0" xfId="19" applyFont="1" applyAlignment="1">
      <alignment wrapText="1"/>
    </xf>
    <xf numFmtId="3" fontId="11" fillId="0" borderId="0" xfId="19" applyNumberFormat="1" applyFont="1" applyAlignment="1">
      <alignment wrapText="1"/>
    </xf>
    <xf numFmtId="0" fontId="37" fillId="0" borderId="0" xfId="19" applyFont="1" applyAlignment="1">
      <alignment wrapText="1"/>
    </xf>
    <xf numFmtId="0" fontId="11" fillId="0" borderId="0" xfId="19" applyFont="1" applyAlignment="1">
      <alignment wrapText="1"/>
    </xf>
    <xf numFmtId="3" fontId="37" fillId="0" borderId="0" xfId="19" applyNumberFormat="1" applyFont="1" applyAlignment="1">
      <alignment wrapText="1"/>
    </xf>
    <xf numFmtId="3" fontId="11" fillId="13" borderId="1" xfId="0" applyNumberFormat="1" applyFont="1" applyFill="1" applyBorder="1" applyAlignment="1">
      <alignment wrapText="1"/>
    </xf>
    <xf numFmtId="3" fontId="11" fillId="13" borderId="0" xfId="19" applyNumberFormat="1" applyFont="1" applyFill="1" applyAlignment="1">
      <alignment wrapText="1"/>
    </xf>
    <xf numFmtId="3" fontId="11" fillId="12" borderId="0" xfId="0" applyNumberFormat="1" applyFont="1" applyFill="1" applyAlignment="1">
      <alignment wrapText="1"/>
    </xf>
    <xf numFmtId="49" fontId="10" fillId="4" borderId="6" xfId="0" applyNumberFormat="1" applyFont="1" applyFill="1" applyBorder="1" applyAlignment="1">
      <alignment horizontal="left" wrapText="1"/>
    </xf>
    <xf numFmtId="0" fontId="10" fillId="4" borderId="6" xfId="0" quotePrefix="1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right" wrapText="1"/>
    </xf>
    <xf numFmtId="49" fontId="10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49" fontId="11" fillId="0" borderId="9" xfId="0" quotePrefix="1" applyNumberFormat="1" applyFont="1" applyBorder="1" applyAlignment="1">
      <alignment horizontal="left" wrapText="1"/>
    </xf>
    <xf numFmtId="0" fontId="11" fillId="0" borderId="9" xfId="0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left" wrapText="1"/>
    </xf>
    <xf numFmtId="49" fontId="10" fillId="0" borderId="8" xfId="0" applyNumberFormat="1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49" fontId="27" fillId="0" borderId="9" xfId="0" applyNumberFormat="1" applyFont="1" applyBorder="1" applyAlignment="1">
      <alignment horizontal="left" wrapText="1"/>
    </xf>
    <xf numFmtId="0" fontId="27" fillId="0" borderId="9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49" fontId="27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9" fillId="0" borderId="0" xfId="0" applyFont="1" applyAlignment="1">
      <alignment wrapText="1"/>
    </xf>
  </cellXfs>
  <cellStyles count="26">
    <cellStyle name="Kokku" xfId="1" builtinId="25"/>
    <cellStyle name="Normaallaad" xfId="0" builtinId="0"/>
    <cellStyle name="Normaallaad 2" xfId="2" xr:uid="{00000000-0005-0000-0000-000000000000}"/>
    <cellStyle name="Normaallaad 2 2" xfId="16" xr:uid="{F561841F-64D5-4A0A-AA57-9F52153D0A21}"/>
    <cellStyle name="Normaallaad 3" xfId="3" xr:uid="{00000000-0005-0000-0000-000001000000}"/>
    <cellStyle name="Normaallaad 3 2" xfId="17" xr:uid="{304BDBC7-203C-461D-A2C7-EA90A31B2A0B}"/>
    <cellStyle name="Normaallaad 3 3" xfId="21" xr:uid="{907ED40E-BE8F-4EA1-BC64-70B57A204A4B}"/>
    <cellStyle name="Normaallaad 4" xfId="19" xr:uid="{8AF72B68-23F8-4710-8CA7-F3133DBBB7C2}"/>
    <cellStyle name="Normaallaad 4 2" xfId="23" xr:uid="{5D0BD10F-5803-4C12-A656-83A8EC231D02}"/>
    <cellStyle name="Normal 2" xfId="4" xr:uid="{00000000-0005-0000-0000-000003000000}"/>
    <cellStyle name="Normal 2 2" xfId="5" xr:uid="{289CF184-F0F5-4ECE-A266-E19996399011}"/>
    <cellStyle name="Normal 2 2 2" xfId="6" xr:uid="{EBB90363-800F-4B7F-9280-0268D3E15473}"/>
    <cellStyle name="Normal 3" xfId="7" xr:uid="{C5428FF1-8E97-48EE-8D2A-8FDA0BD681E0}"/>
    <cellStyle name="Normal 3 2" xfId="8" xr:uid="{82CED971-D02D-4B0D-8303-C5BF21EE490D}"/>
    <cellStyle name="Normal 3 3" xfId="11" xr:uid="{5D2FC981-0D09-4F42-8881-DBF3293E1FF3}"/>
    <cellStyle name="Normal 3 3 2" xfId="20" xr:uid="{E3EB8677-4FA1-48AF-8773-ED485C0EAE6E}"/>
    <cellStyle name="Normal 4" xfId="10" xr:uid="{C1609D40-700D-4909-B3F7-7182C1557F65}"/>
    <cellStyle name="Normal 5" xfId="13" xr:uid="{0577E4AC-0897-48AD-9EF1-5BAD2D6E05EA}"/>
    <cellStyle name="Normal 6" xfId="9" xr:uid="{62E6354A-5D5C-4A0D-A37D-E2CE86E05697}"/>
    <cellStyle name="Normal_REA invest 2005-2006 maakonniti 160905" xfId="15" xr:uid="{803C1A33-7E87-4E22-A777-1A9A2E13D510}"/>
    <cellStyle name="Percent 2" xfId="12" xr:uid="{69C034E4-437C-4081-BEF2-A873972CACF5}"/>
    <cellStyle name="Protsent" xfId="25" builtinId="5"/>
    <cellStyle name="Protsent 2" xfId="18" xr:uid="{80BAFB64-53D6-49B5-80D9-3944B6460062}"/>
    <cellStyle name="Protsent 2 2" xfId="22" xr:uid="{B445026C-0C06-463C-99A6-C7F982D39DBB}"/>
    <cellStyle name="Protsent 3" xfId="14" xr:uid="{2A95A5BA-701A-4B72-B38A-E7DD63A0090A}"/>
    <cellStyle name="Protsent 3 2" xfId="24" xr:uid="{4DFCD35C-A4B9-41D0-BA18-2531361DA616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1764"/>
  <sheetViews>
    <sheetView tabSelected="1" topLeftCell="B1" zoomScale="110" zoomScaleNormal="110" workbookViewId="0">
      <pane ySplit="4" topLeftCell="A401" activePane="bottomLeft" state="frozen"/>
      <selection activeCell="C1" sqref="C1"/>
      <selection pane="bottomLeft" activeCell="O7" sqref="O7"/>
    </sheetView>
  </sheetViews>
  <sheetFormatPr defaultColWidth="9.42578125" defaultRowHeight="14.1" customHeight="1" x14ac:dyDescent="0.2"/>
  <cols>
    <col min="1" max="1" width="8.85546875" style="51" customWidth="1"/>
    <col min="2" max="2" width="7.140625" style="52" customWidth="1"/>
    <col min="3" max="3" width="32" style="56" customWidth="1"/>
    <col min="4" max="4" width="12.5703125" style="54" hidden="1" customWidth="1"/>
    <col min="5" max="5" width="10.5703125" style="55" hidden="1" customWidth="1"/>
    <col min="6" max="6" width="12.5703125" style="56" hidden="1" customWidth="1"/>
    <col min="7" max="7" width="10.28515625" style="56" hidden="1" customWidth="1"/>
    <col min="8" max="8" width="12.5703125" style="56" hidden="1" customWidth="1"/>
    <col min="9" max="9" width="0.28515625" style="55" hidden="1" customWidth="1"/>
    <col min="10" max="10" width="0.140625" style="57" hidden="1" customWidth="1"/>
    <col min="11" max="11" width="10.7109375" style="57" hidden="1" customWidth="1"/>
    <col min="12" max="12" width="14.42578125" style="57" hidden="1" customWidth="1"/>
    <col min="13" max="13" width="10.7109375" style="57" customWidth="1"/>
    <col min="14" max="14" width="12.28515625" style="57" customWidth="1"/>
    <col min="15" max="15" width="12.5703125" style="57" customWidth="1"/>
    <col min="16" max="16" width="13.85546875" style="58" customWidth="1"/>
    <col min="17" max="17" width="11.5703125" style="49" customWidth="1"/>
    <col min="18" max="18" width="10.7109375" style="59" customWidth="1"/>
    <col min="19" max="19" width="11.28515625" style="56" customWidth="1"/>
    <col min="20" max="20" width="6.5703125" style="56" customWidth="1"/>
    <col min="21" max="21" width="13.42578125" style="56" customWidth="1"/>
    <col min="22" max="22" width="10.7109375" style="56" customWidth="1"/>
    <col min="23" max="23" width="27.7109375" style="56" customWidth="1"/>
    <col min="24" max="24" width="12.85546875" style="56" customWidth="1"/>
    <col min="25" max="25" width="10.7109375" style="56" customWidth="1"/>
    <col min="26" max="16384" width="9.42578125" style="56"/>
  </cols>
  <sheetData>
    <row r="1" spans="1:22" ht="14.1" hidden="1" customHeight="1" x14ac:dyDescent="0.2">
      <c r="C1" s="53" t="s">
        <v>0</v>
      </c>
    </row>
    <row r="2" spans="1:22" ht="14.1" customHeight="1" x14ac:dyDescent="0.2">
      <c r="A2" s="60" t="s">
        <v>1</v>
      </c>
      <c r="B2" s="61"/>
      <c r="C2" s="62" t="s">
        <v>2</v>
      </c>
      <c r="D2" s="63"/>
      <c r="E2" s="64"/>
      <c r="F2" s="65"/>
      <c r="G2" s="65"/>
      <c r="H2" s="65"/>
      <c r="I2" s="64"/>
      <c r="J2" s="66"/>
      <c r="K2" s="66"/>
      <c r="L2" s="66"/>
      <c r="M2" s="66"/>
      <c r="N2" s="66"/>
      <c r="O2" s="66"/>
      <c r="P2" s="67"/>
    </row>
    <row r="3" spans="1:22" ht="13.5" customHeight="1" x14ac:dyDescent="0.2">
      <c r="A3" s="68" t="s">
        <v>3</v>
      </c>
      <c r="B3" s="69"/>
      <c r="C3" s="70"/>
      <c r="D3" s="43"/>
      <c r="E3" s="71"/>
      <c r="F3" s="72"/>
      <c r="G3" s="72"/>
      <c r="H3" s="72"/>
      <c r="I3" s="71"/>
      <c r="J3" s="73"/>
      <c r="K3" s="74"/>
      <c r="L3" s="74"/>
      <c r="M3" s="74"/>
      <c r="N3" s="73"/>
      <c r="O3" s="73"/>
      <c r="P3" s="67"/>
    </row>
    <row r="4" spans="1:22" s="53" customFormat="1" ht="39" customHeight="1" x14ac:dyDescent="0.2">
      <c r="A4" s="75" t="s">
        <v>4</v>
      </c>
      <c r="B4" s="76"/>
      <c r="C4" s="77" t="s">
        <v>5</v>
      </c>
      <c r="D4" s="43" t="s">
        <v>7</v>
      </c>
      <c r="E4" s="71" t="s">
        <v>8</v>
      </c>
      <c r="F4" s="72" t="s">
        <v>9</v>
      </c>
      <c r="G4" s="44" t="s">
        <v>608</v>
      </c>
      <c r="H4" s="45" t="s">
        <v>609</v>
      </c>
      <c r="I4" s="46">
        <v>44500</v>
      </c>
      <c r="J4" s="47" t="s">
        <v>599</v>
      </c>
      <c r="K4" s="48" t="s">
        <v>6</v>
      </c>
      <c r="L4" s="48" t="s">
        <v>619</v>
      </c>
      <c r="M4" s="48" t="s">
        <v>649</v>
      </c>
      <c r="N4" s="47" t="s">
        <v>650</v>
      </c>
      <c r="O4" s="47" t="s">
        <v>1552</v>
      </c>
      <c r="P4" s="78" t="s">
        <v>788</v>
      </c>
      <c r="Q4" s="49" t="s">
        <v>1580</v>
      </c>
      <c r="R4" s="57"/>
      <c r="S4" s="56" t="s">
        <v>726</v>
      </c>
      <c r="T4" s="56"/>
      <c r="U4" s="56"/>
      <c r="V4" s="56"/>
    </row>
    <row r="5" spans="1:22" s="53" customFormat="1" ht="14.1" customHeight="1" x14ac:dyDescent="0.2">
      <c r="A5" s="79" t="s">
        <v>10</v>
      </c>
      <c r="B5" s="80"/>
      <c r="C5" s="81" t="s">
        <v>11</v>
      </c>
      <c r="D5" s="82">
        <v>12838191</v>
      </c>
      <c r="E5" s="83">
        <v>0</v>
      </c>
      <c r="F5" s="84">
        <f t="shared" ref="F5:F22" si="0">+E5+D5</f>
        <v>12838191</v>
      </c>
      <c r="G5" s="84">
        <v>0</v>
      </c>
      <c r="H5" s="84">
        <f>+G5+F5</f>
        <v>12838191</v>
      </c>
      <c r="I5" s="83">
        <f>+I6+I7</f>
        <v>10610399</v>
      </c>
      <c r="J5" s="85">
        <f>+J6+J7</f>
        <v>14088710.100000001</v>
      </c>
      <c r="K5" s="86">
        <f>+K6+K7</f>
        <v>370830</v>
      </c>
      <c r="L5" s="86">
        <f>+L6+L7</f>
        <v>14459540.100000001</v>
      </c>
      <c r="M5" s="86">
        <f t="shared" ref="M5" si="1">+M6+M7</f>
        <v>500000</v>
      </c>
      <c r="N5" s="85">
        <f>+N6+N7</f>
        <v>14959540.100000001</v>
      </c>
      <c r="O5" s="85">
        <f>+O6+O7</f>
        <v>12564623</v>
      </c>
      <c r="P5" s="85">
        <f>+P6+P7</f>
        <v>17550000</v>
      </c>
      <c r="Q5" s="87">
        <f>(P5-N5)/N5</f>
        <v>0.17316440764111446</v>
      </c>
      <c r="R5" s="88"/>
      <c r="S5" s="88">
        <f>P5-N5</f>
        <v>2590459.8999999985</v>
      </c>
      <c r="T5" s="56"/>
      <c r="U5" s="56"/>
      <c r="V5" s="56"/>
    </row>
    <row r="6" spans="1:22" ht="14.1" customHeight="1" x14ac:dyDescent="0.2">
      <c r="A6" s="89" t="s">
        <v>12</v>
      </c>
      <c r="B6" s="90">
        <v>3000</v>
      </c>
      <c r="C6" s="72" t="s">
        <v>13</v>
      </c>
      <c r="D6" s="43">
        <v>12505191</v>
      </c>
      <c r="E6" s="71"/>
      <c r="F6" s="91">
        <f t="shared" si="0"/>
        <v>12505191</v>
      </c>
      <c r="G6" s="91"/>
      <c r="H6" s="91">
        <f t="shared" ref="H6:H22" si="2">+G6+F6</f>
        <v>12505191</v>
      </c>
      <c r="I6" s="71">
        <v>10312442</v>
      </c>
      <c r="J6" s="73">
        <f>+F6*1.1</f>
        <v>13755710.100000001</v>
      </c>
      <c r="K6" s="74">
        <v>370830</v>
      </c>
      <c r="L6" s="74">
        <f>+K6+J6</f>
        <v>14126540.100000001</v>
      </c>
      <c r="M6" s="92">
        <v>500000</v>
      </c>
      <c r="N6" s="73">
        <f>+M6+L6</f>
        <v>14626540.100000001</v>
      </c>
      <c r="O6" s="73">
        <v>12228618</v>
      </c>
      <c r="P6" s="67">
        <v>17200000</v>
      </c>
      <c r="Q6" s="87">
        <f t="shared" ref="Q6:Q69" si="3">(P6-N6)/N6</f>
        <v>0.17594454207253007</v>
      </c>
      <c r="R6" s="88"/>
      <c r="S6" s="88">
        <f>P6-N6</f>
        <v>2573459.8999999985</v>
      </c>
      <c r="T6" s="57"/>
      <c r="U6" s="57"/>
    </row>
    <row r="7" spans="1:22" ht="14.1" customHeight="1" x14ac:dyDescent="0.2">
      <c r="A7" s="89" t="s">
        <v>14</v>
      </c>
      <c r="B7" s="90">
        <v>3030</v>
      </c>
      <c r="C7" s="72" t="s">
        <v>15</v>
      </c>
      <c r="D7" s="43">
        <v>333000</v>
      </c>
      <c r="E7" s="71"/>
      <c r="F7" s="91">
        <f t="shared" si="0"/>
        <v>333000</v>
      </c>
      <c r="G7" s="91"/>
      <c r="H7" s="91">
        <f t="shared" si="2"/>
        <v>333000</v>
      </c>
      <c r="I7" s="71">
        <v>297957</v>
      </c>
      <c r="J7" s="73">
        <v>333000</v>
      </c>
      <c r="K7" s="74">
        <v>0</v>
      </c>
      <c r="L7" s="74">
        <f>+K7+J7</f>
        <v>333000</v>
      </c>
      <c r="M7" s="74"/>
      <c r="N7" s="73">
        <f>+M7+L7</f>
        <v>333000</v>
      </c>
      <c r="O7" s="73">
        <v>336005</v>
      </c>
      <c r="P7" s="67">
        <v>350000</v>
      </c>
      <c r="Q7" s="87">
        <f t="shared" si="3"/>
        <v>5.1051051051051052E-2</v>
      </c>
      <c r="R7" s="88"/>
      <c r="S7" s="88">
        <f>P7-N7</f>
        <v>17000</v>
      </c>
      <c r="U7" s="93"/>
    </row>
    <row r="8" spans="1:22" s="53" customFormat="1" ht="14.1" customHeight="1" x14ac:dyDescent="0.2">
      <c r="A8" s="79" t="s">
        <v>16</v>
      </c>
      <c r="B8" s="80">
        <v>32</v>
      </c>
      <c r="C8" s="81" t="s">
        <v>17</v>
      </c>
      <c r="D8" s="82">
        <v>1290598</v>
      </c>
      <c r="E8" s="83">
        <f>+E9+E10+E38+E47+E56+E69+E70+E71+E72+E73+E74</f>
        <v>-86900</v>
      </c>
      <c r="F8" s="86">
        <f t="shared" si="0"/>
        <v>1203698</v>
      </c>
      <c r="G8" s="86">
        <f>+G9+G10+G38+G47+G56+G69+G70+G71+G72+G73+G74</f>
        <v>45064</v>
      </c>
      <c r="H8" s="86">
        <f>+G8+F8</f>
        <v>1248762</v>
      </c>
      <c r="I8" s="83">
        <f t="shared" ref="I8:O8" si="4">+I9+I10+I38+I47+I56+I69+I70+I71+I72+I73+I74</f>
        <v>1050437</v>
      </c>
      <c r="J8" s="83">
        <f t="shared" si="4"/>
        <v>1498477</v>
      </c>
      <c r="K8" s="83">
        <f t="shared" si="4"/>
        <v>18000</v>
      </c>
      <c r="L8" s="83">
        <f t="shared" si="4"/>
        <v>1516477</v>
      </c>
      <c r="M8" s="83">
        <f t="shared" si="4"/>
        <v>7200</v>
      </c>
      <c r="N8" s="82">
        <f t="shared" si="4"/>
        <v>1523677</v>
      </c>
      <c r="O8" s="82">
        <f t="shared" si="4"/>
        <v>1256052</v>
      </c>
      <c r="P8" s="82">
        <f>+P9+P10+P38+P47+P56+P69+P70+P71+P72+P73+P74</f>
        <v>1943900</v>
      </c>
      <c r="Q8" s="87">
        <f t="shared" si="3"/>
        <v>0.27579532932504724</v>
      </c>
      <c r="R8" s="88"/>
      <c r="S8" s="56"/>
      <c r="T8" s="56"/>
      <c r="U8" s="56"/>
      <c r="V8" s="56"/>
    </row>
    <row r="9" spans="1:22" s="53" customFormat="1" ht="13.5" customHeight="1" x14ac:dyDescent="0.2">
      <c r="A9" s="94" t="s">
        <v>18</v>
      </c>
      <c r="B9" s="95">
        <v>320</v>
      </c>
      <c r="C9" s="96" t="s">
        <v>19</v>
      </c>
      <c r="D9" s="43">
        <v>45000</v>
      </c>
      <c r="E9" s="97"/>
      <c r="F9" s="98">
        <f t="shared" si="0"/>
        <v>45000</v>
      </c>
      <c r="G9" s="98">
        <v>0</v>
      </c>
      <c r="H9" s="98">
        <f t="shared" si="2"/>
        <v>45000</v>
      </c>
      <c r="I9" s="97">
        <v>34720</v>
      </c>
      <c r="J9" s="99">
        <v>45000</v>
      </c>
      <c r="K9" s="98">
        <v>0</v>
      </c>
      <c r="L9" s="98">
        <f>+K9+J9</f>
        <v>45000</v>
      </c>
      <c r="M9" s="98"/>
      <c r="N9" s="99">
        <f t="shared" ref="N9" si="5">+M9+L9</f>
        <v>45000</v>
      </c>
      <c r="O9" s="99">
        <v>35430</v>
      </c>
      <c r="P9" s="100">
        <v>45000</v>
      </c>
      <c r="Q9" s="87">
        <f t="shared" si="3"/>
        <v>0</v>
      </c>
      <c r="R9" s="88"/>
      <c r="S9" s="56"/>
      <c r="T9" s="56"/>
      <c r="U9" s="56"/>
      <c r="V9" s="56"/>
    </row>
    <row r="10" spans="1:22" s="53" customFormat="1" ht="14.1" customHeight="1" x14ac:dyDescent="0.2">
      <c r="A10" s="94" t="s">
        <v>20</v>
      </c>
      <c r="B10" s="95">
        <v>3220</v>
      </c>
      <c r="C10" s="96" t="s">
        <v>21</v>
      </c>
      <c r="D10" s="43">
        <v>1015248</v>
      </c>
      <c r="E10" s="97">
        <f>SUM(E16:E35)</f>
        <v>-85000</v>
      </c>
      <c r="F10" s="98">
        <f t="shared" si="0"/>
        <v>930248</v>
      </c>
      <c r="G10" s="98">
        <f>SUM(G16:G37)</f>
        <v>2770</v>
      </c>
      <c r="H10" s="98">
        <f t="shared" si="2"/>
        <v>933018</v>
      </c>
      <c r="I10" s="97">
        <f>SUM(I11:I37)</f>
        <v>798149</v>
      </c>
      <c r="J10" s="97">
        <f>SUM(J11:J37)</f>
        <v>1165985</v>
      </c>
      <c r="K10" s="97">
        <f>SUM(K11:K37)</f>
        <v>5000</v>
      </c>
      <c r="L10" s="97">
        <f>SUM(L11:L37)</f>
        <v>1170985</v>
      </c>
      <c r="M10" s="97">
        <f>SUM(M11:M37)</f>
        <v>0</v>
      </c>
      <c r="N10" s="43">
        <f t="shared" ref="N10:P10" si="6">SUM(N11:N37)</f>
        <v>1170985</v>
      </c>
      <c r="O10" s="43">
        <f t="shared" si="6"/>
        <v>942257</v>
      </c>
      <c r="P10" s="101">
        <f t="shared" si="6"/>
        <v>1519100</v>
      </c>
      <c r="Q10" s="87">
        <f t="shared" si="3"/>
        <v>0.29728391055393538</v>
      </c>
      <c r="R10" s="88"/>
      <c r="S10" s="56"/>
      <c r="T10" s="56"/>
      <c r="U10" s="56"/>
      <c r="V10" s="56"/>
    </row>
    <row r="11" spans="1:22" ht="14.1" customHeight="1" x14ac:dyDescent="0.2">
      <c r="A11" s="89" t="s">
        <v>759</v>
      </c>
      <c r="B11" s="90"/>
      <c r="C11" s="72" t="s">
        <v>1584</v>
      </c>
      <c r="D11" s="102">
        <v>8000</v>
      </c>
      <c r="E11" s="71"/>
      <c r="F11" s="74">
        <f t="shared" si="0"/>
        <v>8000</v>
      </c>
      <c r="G11" s="74"/>
      <c r="H11" s="74">
        <f>+G11+F11</f>
        <v>8000</v>
      </c>
      <c r="I11" s="71">
        <v>12872</v>
      </c>
      <c r="J11" s="73">
        <v>15000</v>
      </c>
      <c r="K11" s="74">
        <v>0</v>
      </c>
      <c r="L11" s="74">
        <f>+K11+J11</f>
        <v>15000</v>
      </c>
      <c r="M11" s="74"/>
      <c r="N11" s="73">
        <f>+M11+L11</f>
        <v>15000</v>
      </c>
      <c r="O11" s="73">
        <v>6677</v>
      </c>
      <c r="P11" s="67">
        <v>15000</v>
      </c>
      <c r="Q11" s="87">
        <f t="shared" si="3"/>
        <v>0</v>
      </c>
      <c r="R11" s="88"/>
    </row>
    <row r="12" spans="1:22" ht="14.1" customHeight="1" x14ac:dyDescent="0.2">
      <c r="A12" s="89" t="s">
        <v>760</v>
      </c>
      <c r="B12" s="90"/>
      <c r="C12" s="72" t="s">
        <v>1587</v>
      </c>
      <c r="D12" s="102">
        <v>22000</v>
      </c>
      <c r="E12" s="71"/>
      <c r="F12" s="74">
        <f t="shared" si="0"/>
        <v>22000</v>
      </c>
      <c r="G12" s="74"/>
      <c r="H12" s="74">
        <f>+G12+F12</f>
        <v>22000</v>
      </c>
      <c r="I12" s="71">
        <v>17005</v>
      </c>
      <c r="J12" s="73">
        <v>22000</v>
      </c>
      <c r="K12" s="74">
        <v>0</v>
      </c>
      <c r="L12" s="74">
        <f>+K12+J12</f>
        <v>22000</v>
      </c>
      <c r="M12" s="74"/>
      <c r="N12" s="73">
        <f t="shared" ref="N12:N37" si="7">+M12+L12</f>
        <v>22000</v>
      </c>
      <c r="O12" s="73">
        <v>16476</v>
      </c>
      <c r="P12" s="67">
        <v>32000</v>
      </c>
      <c r="Q12" s="87">
        <f t="shared" si="3"/>
        <v>0.45454545454545453</v>
      </c>
      <c r="R12" s="88"/>
      <c r="S12" s="56" t="s">
        <v>1127</v>
      </c>
      <c r="T12" s="56" t="s">
        <v>1392</v>
      </c>
    </row>
    <row r="13" spans="1:22" s="53" customFormat="1" ht="14.1" customHeight="1" x14ac:dyDescent="0.2">
      <c r="A13" s="68" t="s">
        <v>762</v>
      </c>
      <c r="B13" s="90"/>
      <c r="C13" s="72" t="s">
        <v>791</v>
      </c>
      <c r="D13" s="102">
        <v>9000</v>
      </c>
      <c r="E13" s="71"/>
      <c r="F13" s="74">
        <f t="shared" si="0"/>
        <v>9000</v>
      </c>
      <c r="G13" s="74"/>
      <c r="H13" s="74">
        <f>+G13+F13</f>
        <v>9000</v>
      </c>
      <c r="I13" s="71">
        <v>10439</v>
      </c>
      <c r="J13" s="73">
        <v>11000</v>
      </c>
      <c r="K13" s="74">
        <v>5000</v>
      </c>
      <c r="L13" s="74">
        <f>+K13+J13</f>
        <v>16000</v>
      </c>
      <c r="M13" s="74"/>
      <c r="N13" s="73">
        <f t="shared" si="7"/>
        <v>16000</v>
      </c>
      <c r="O13" s="73">
        <v>16973</v>
      </c>
      <c r="P13" s="67">
        <v>23000</v>
      </c>
      <c r="Q13" s="87">
        <f t="shared" si="3"/>
        <v>0.4375</v>
      </c>
      <c r="R13" s="88"/>
      <c r="S13" s="88" t="s">
        <v>792</v>
      </c>
      <c r="T13" s="56"/>
      <c r="U13" s="56"/>
      <c r="V13" s="56"/>
    </row>
    <row r="14" spans="1:22" s="53" customFormat="1" ht="14.1" customHeight="1" x14ac:dyDescent="0.2">
      <c r="A14" s="89" t="s">
        <v>765</v>
      </c>
      <c r="B14" s="90"/>
      <c r="C14" s="103" t="s">
        <v>23</v>
      </c>
      <c r="D14" s="102">
        <v>180000</v>
      </c>
      <c r="E14" s="71"/>
      <c r="F14" s="74">
        <f t="shared" si="0"/>
        <v>180000</v>
      </c>
      <c r="G14" s="74"/>
      <c r="H14" s="74">
        <f t="shared" ref="H14:H15" si="8">+G14+F14</f>
        <v>180000</v>
      </c>
      <c r="I14" s="71">
        <v>146640</v>
      </c>
      <c r="J14" s="73">
        <v>180000</v>
      </c>
      <c r="K14" s="74">
        <v>0</v>
      </c>
      <c r="L14" s="74">
        <f t="shared" ref="L14:L15" si="9">+K14+J14</f>
        <v>180000</v>
      </c>
      <c r="M14" s="74"/>
      <c r="N14" s="73">
        <f t="shared" si="7"/>
        <v>180000</v>
      </c>
      <c r="O14" s="73">
        <v>135936</v>
      </c>
      <c r="P14" s="67">
        <v>190000</v>
      </c>
      <c r="Q14" s="87">
        <f t="shared" si="3"/>
        <v>5.5555555555555552E-2</v>
      </c>
      <c r="R14" s="88"/>
      <c r="S14" s="88"/>
      <c r="T14" s="56"/>
      <c r="U14" s="56"/>
      <c r="V14" s="56"/>
    </row>
    <row r="15" spans="1:22" s="53" customFormat="1" ht="14.1" customHeight="1" x14ac:dyDescent="0.2">
      <c r="A15" s="89" t="s">
        <v>767</v>
      </c>
      <c r="B15" s="90"/>
      <c r="C15" s="103" t="s">
        <v>22</v>
      </c>
      <c r="D15" s="102">
        <v>88000</v>
      </c>
      <c r="E15" s="71"/>
      <c r="F15" s="74">
        <f t="shared" si="0"/>
        <v>88000</v>
      </c>
      <c r="G15" s="74"/>
      <c r="H15" s="74">
        <f t="shared" si="8"/>
        <v>88000</v>
      </c>
      <c r="I15" s="71">
        <v>80772</v>
      </c>
      <c r="J15" s="73">
        <v>90000</v>
      </c>
      <c r="K15" s="74">
        <v>0</v>
      </c>
      <c r="L15" s="74">
        <f t="shared" si="9"/>
        <v>90000</v>
      </c>
      <c r="M15" s="74"/>
      <c r="N15" s="73">
        <f t="shared" si="7"/>
        <v>90000</v>
      </c>
      <c r="O15" s="73">
        <v>93283</v>
      </c>
      <c r="P15" s="67">
        <v>110000</v>
      </c>
      <c r="Q15" s="87">
        <f t="shared" si="3"/>
        <v>0.22222222222222221</v>
      </c>
      <c r="R15" s="88"/>
      <c r="S15" s="88"/>
      <c r="T15" s="56"/>
      <c r="U15" s="56"/>
      <c r="V15" s="56"/>
    </row>
    <row r="16" spans="1:22" s="53" customFormat="1" ht="14.1" customHeight="1" x14ac:dyDescent="0.2">
      <c r="A16" s="94" t="s">
        <v>764</v>
      </c>
      <c r="B16" s="95"/>
      <c r="C16" s="72" t="s">
        <v>790</v>
      </c>
      <c r="D16" s="102">
        <v>20000</v>
      </c>
      <c r="E16" s="104"/>
      <c r="F16" s="74">
        <f t="shared" si="0"/>
        <v>20000</v>
      </c>
      <c r="G16" s="74"/>
      <c r="H16" s="74">
        <f t="shared" si="2"/>
        <v>20000</v>
      </c>
      <c r="I16" s="71">
        <v>31489</v>
      </c>
      <c r="J16" s="73">
        <v>20000</v>
      </c>
      <c r="K16" s="74">
        <v>0</v>
      </c>
      <c r="L16" s="74">
        <f t="shared" ref="L16:L74" si="10">+K16+J16</f>
        <v>20000</v>
      </c>
      <c r="M16" s="74"/>
      <c r="N16" s="73">
        <f t="shared" si="7"/>
        <v>20000</v>
      </c>
      <c r="O16" s="73">
        <v>18180</v>
      </c>
      <c r="P16" s="67">
        <v>30000</v>
      </c>
      <c r="Q16" s="87">
        <f t="shared" si="3"/>
        <v>0.5</v>
      </c>
      <c r="R16" s="88"/>
      <c r="S16" s="88"/>
      <c r="T16" s="56"/>
      <c r="U16" s="56"/>
      <c r="V16" s="56"/>
    </row>
    <row r="17" spans="1:22" ht="14.1" customHeight="1" x14ac:dyDescent="0.2">
      <c r="A17" s="89" t="s">
        <v>764</v>
      </c>
      <c r="B17" s="90"/>
      <c r="C17" s="72" t="s">
        <v>1588</v>
      </c>
      <c r="D17" s="102">
        <v>11250</v>
      </c>
      <c r="E17" s="71"/>
      <c r="F17" s="74">
        <f t="shared" si="0"/>
        <v>11250</v>
      </c>
      <c r="G17" s="74"/>
      <c r="H17" s="74">
        <f t="shared" si="2"/>
        <v>11250</v>
      </c>
      <c r="I17" s="71">
        <v>0</v>
      </c>
      <c r="J17" s="73">
        <v>11250</v>
      </c>
      <c r="K17" s="74">
        <v>0</v>
      </c>
      <c r="L17" s="74">
        <f t="shared" si="10"/>
        <v>11250</v>
      </c>
      <c r="M17" s="74"/>
      <c r="N17" s="73">
        <f t="shared" si="7"/>
        <v>11250</v>
      </c>
      <c r="O17" s="73">
        <v>8132</v>
      </c>
      <c r="P17" s="67">
        <v>15000</v>
      </c>
      <c r="Q17" s="87">
        <f t="shared" si="3"/>
        <v>0.33333333333333331</v>
      </c>
      <c r="R17" s="88"/>
      <c r="S17" s="88"/>
      <c r="T17" s="56" t="s">
        <v>1392</v>
      </c>
    </row>
    <row r="18" spans="1:22" ht="14.1" customHeight="1" x14ac:dyDescent="0.2">
      <c r="A18" s="89" t="s">
        <v>763</v>
      </c>
      <c r="B18" s="90"/>
      <c r="C18" s="72" t="s">
        <v>1589</v>
      </c>
      <c r="D18" s="102">
        <v>32000</v>
      </c>
      <c r="E18" s="71">
        <v>-8000</v>
      </c>
      <c r="F18" s="74">
        <f t="shared" si="0"/>
        <v>24000</v>
      </c>
      <c r="G18" s="74"/>
      <c r="H18" s="74">
        <f t="shared" si="2"/>
        <v>24000</v>
      </c>
      <c r="I18" s="71">
        <v>16526</v>
      </c>
      <c r="J18" s="73">
        <v>35226</v>
      </c>
      <c r="K18" s="74">
        <v>0</v>
      </c>
      <c r="L18" s="74">
        <f t="shared" si="10"/>
        <v>35226</v>
      </c>
      <c r="M18" s="74"/>
      <c r="N18" s="73">
        <f t="shared" si="7"/>
        <v>35226</v>
      </c>
      <c r="O18" s="73">
        <v>17594</v>
      </c>
      <c r="P18" s="67">
        <v>56000</v>
      </c>
      <c r="Q18" s="87">
        <f t="shared" si="3"/>
        <v>0.58973485493669453</v>
      </c>
      <c r="R18" s="88">
        <f>SUM(O18:O23)</f>
        <v>145896</v>
      </c>
      <c r="S18" s="88" t="s">
        <v>789</v>
      </c>
      <c r="T18" s="57">
        <f>SUM(P18:P23)</f>
        <v>353000</v>
      </c>
      <c r="U18" s="57" t="s">
        <v>757</v>
      </c>
      <c r="V18" s="56" t="s">
        <v>1279</v>
      </c>
    </row>
    <row r="19" spans="1:22" ht="14.1" customHeight="1" x14ac:dyDescent="0.2">
      <c r="A19" s="89"/>
      <c r="B19" s="90"/>
      <c r="C19" s="72" t="s">
        <v>636</v>
      </c>
      <c r="D19" s="102">
        <v>76890</v>
      </c>
      <c r="E19" s="71">
        <v>-5000</v>
      </c>
      <c r="F19" s="74">
        <f t="shared" si="0"/>
        <v>71890</v>
      </c>
      <c r="G19" s="74"/>
      <c r="H19" s="74">
        <f t="shared" si="2"/>
        <v>71890</v>
      </c>
      <c r="I19" s="71">
        <v>56167</v>
      </c>
      <c r="J19" s="73">
        <v>76890</v>
      </c>
      <c r="K19" s="74">
        <v>0</v>
      </c>
      <c r="L19" s="74">
        <f t="shared" si="10"/>
        <v>76890</v>
      </c>
      <c r="M19" s="74"/>
      <c r="N19" s="73">
        <f t="shared" si="7"/>
        <v>76890</v>
      </c>
      <c r="O19" s="73">
        <v>60761</v>
      </c>
      <c r="P19" s="67">
        <v>130000</v>
      </c>
      <c r="Q19" s="87">
        <f t="shared" si="3"/>
        <v>0.69072701261542468</v>
      </c>
      <c r="R19" s="88"/>
      <c r="S19" s="88" t="s">
        <v>793</v>
      </c>
      <c r="T19" s="57"/>
    </row>
    <row r="20" spans="1:22" ht="14.1" customHeight="1" x14ac:dyDescent="0.2">
      <c r="A20" s="89"/>
      <c r="B20" s="90"/>
      <c r="C20" s="72" t="s">
        <v>623</v>
      </c>
      <c r="D20" s="102">
        <v>34322</v>
      </c>
      <c r="E20" s="71">
        <v>-4000</v>
      </c>
      <c r="F20" s="74">
        <f t="shared" si="0"/>
        <v>30322</v>
      </c>
      <c r="G20" s="74"/>
      <c r="H20" s="74">
        <f t="shared" si="2"/>
        <v>30322</v>
      </c>
      <c r="I20" s="71">
        <v>25704</v>
      </c>
      <c r="J20" s="73">
        <v>65659</v>
      </c>
      <c r="K20" s="74">
        <v>0</v>
      </c>
      <c r="L20" s="74">
        <f t="shared" si="10"/>
        <v>65659</v>
      </c>
      <c r="M20" s="74"/>
      <c r="N20" s="73">
        <f t="shared" si="7"/>
        <v>65659</v>
      </c>
      <c r="O20" s="73">
        <v>41072</v>
      </c>
      <c r="P20" s="67">
        <v>99000</v>
      </c>
      <c r="Q20" s="87">
        <f t="shared" si="3"/>
        <v>0.50779024962305241</v>
      </c>
      <c r="R20" s="88"/>
      <c r="S20" s="88" t="s">
        <v>794</v>
      </c>
      <c r="T20" s="57"/>
    </row>
    <row r="21" spans="1:22" ht="14.1" customHeight="1" x14ac:dyDescent="0.2">
      <c r="A21" s="89"/>
      <c r="B21" s="90"/>
      <c r="C21" s="72" t="s">
        <v>620</v>
      </c>
      <c r="D21" s="102">
        <v>10800</v>
      </c>
      <c r="E21" s="71">
        <v>-3000</v>
      </c>
      <c r="F21" s="74">
        <f t="shared" si="0"/>
        <v>7800</v>
      </c>
      <c r="G21" s="74"/>
      <c r="H21" s="74">
        <f t="shared" si="2"/>
        <v>7800</v>
      </c>
      <c r="I21" s="71">
        <v>6446</v>
      </c>
      <c r="J21" s="73">
        <v>7800</v>
      </c>
      <c r="K21" s="74">
        <v>0</v>
      </c>
      <c r="L21" s="74">
        <f t="shared" si="10"/>
        <v>7800</v>
      </c>
      <c r="M21" s="74"/>
      <c r="N21" s="73">
        <f t="shared" si="7"/>
        <v>7800</v>
      </c>
      <c r="O21" s="73">
        <v>6867</v>
      </c>
      <c r="P21" s="67">
        <v>12000</v>
      </c>
      <c r="Q21" s="87">
        <f t="shared" si="3"/>
        <v>0.53846153846153844</v>
      </c>
      <c r="R21" s="88"/>
      <c r="S21" s="88" t="s">
        <v>795</v>
      </c>
    </row>
    <row r="22" spans="1:22" ht="14.1" customHeight="1" x14ac:dyDescent="0.2">
      <c r="A22" s="89"/>
      <c r="B22" s="90"/>
      <c r="C22" s="72" t="s">
        <v>621</v>
      </c>
      <c r="D22" s="102">
        <v>30000</v>
      </c>
      <c r="E22" s="71">
        <v>-8000</v>
      </c>
      <c r="F22" s="74">
        <f t="shared" si="0"/>
        <v>22000</v>
      </c>
      <c r="G22" s="74"/>
      <c r="H22" s="74">
        <f t="shared" si="2"/>
        <v>22000</v>
      </c>
      <c r="I22" s="71">
        <v>16164</v>
      </c>
      <c r="J22" s="73">
        <v>19300</v>
      </c>
      <c r="K22" s="74">
        <v>0</v>
      </c>
      <c r="L22" s="74">
        <v>19300</v>
      </c>
      <c r="M22" s="74"/>
      <c r="N22" s="73">
        <f t="shared" si="7"/>
        <v>19300</v>
      </c>
      <c r="O22" s="73">
        <v>13975</v>
      </c>
      <c r="P22" s="67">
        <v>38000</v>
      </c>
      <c r="Q22" s="87">
        <f t="shared" si="3"/>
        <v>0.9689119170984456</v>
      </c>
      <c r="R22" s="88"/>
      <c r="S22" s="88" t="s">
        <v>796</v>
      </c>
    </row>
    <row r="23" spans="1:22" ht="14.1" customHeight="1" x14ac:dyDescent="0.2">
      <c r="A23" s="89"/>
      <c r="B23" s="90"/>
      <c r="C23" s="72" t="s">
        <v>622</v>
      </c>
      <c r="D23" s="102"/>
      <c r="E23" s="71"/>
      <c r="F23" s="74"/>
      <c r="G23" s="74"/>
      <c r="H23" s="74"/>
      <c r="I23" s="71"/>
      <c r="J23" s="73">
        <v>10626</v>
      </c>
      <c r="K23" s="74">
        <v>0</v>
      </c>
      <c r="L23" s="74">
        <f t="shared" si="10"/>
        <v>10626</v>
      </c>
      <c r="M23" s="74"/>
      <c r="N23" s="73">
        <f t="shared" si="7"/>
        <v>10626</v>
      </c>
      <c r="O23" s="73">
        <v>5627</v>
      </c>
      <c r="P23" s="67">
        <v>18000</v>
      </c>
      <c r="Q23" s="87">
        <f t="shared" si="3"/>
        <v>0.69395821569734617</v>
      </c>
      <c r="R23" s="88"/>
      <c r="S23" s="88" t="s">
        <v>797</v>
      </c>
    </row>
    <row r="24" spans="1:22" ht="14.1" customHeight="1" x14ac:dyDescent="0.2">
      <c r="A24" s="89" t="s">
        <v>766</v>
      </c>
      <c r="B24" s="90"/>
      <c r="C24" s="72" t="s">
        <v>1590</v>
      </c>
      <c r="D24" s="102">
        <v>61558</v>
      </c>
      <c r="E24" s="71">
        <v>-5000</v>
      </c>
      <c r="F24" s="74">
        <f t="shared" ref="F24:F29" si="11">+E24+D24</f>
        <v>56558</v>
      </c>
      <c r="G24" s="74"/>
      <c r="H24" s="74">
        <f t="shared" ref="H24:H29" si="12">+G24+F24</f>
        <v>56558</v>
      </c>
      <c r="I24" s="71">
        <v>51301</v>
      </c>
      <c r="J24" s="73">
        <v>69313</v>
      </c>
      <c r="K24" s="74">
        <v>0</v>
      </c>
      <c r="L24" s="74">
        <f t="shared" si="10"/>
        <v>69313</v>
      </c>
      <c r="M24" s="74"/>
      <c r="N24" s="73">
        <f t="shared" si="7"/>
        <v>69313</v>
      </c>
      <c r="O24" s="73">
        <v>52696</v>
      </c>
      <c r="P24" s="67">
        <v>98000</v>
      </c>
      <c r="Q24" s="87">
        <f t="shared" si="3"/>
        <v>0.41387618484267019</v>
      </c>
      <c r="R24" s="88">
        <f>SUM(O24:O30)</f>
        <v>421662</v>
      </c>
      <c r="S24" s="88" t="s">
        <v>789</v>
      </c>
      <c r="T24" s="57">
        <f>SUM(P24:P30)</f>
        <v>647600</v>
      </c>
      <c r="U24" s="56" t="s">
        <v>758</v>
      </c>
      <c r="V24" s="56" t="s">
        <v>1280</v>
      </c>
    </row>
    <row r="25" spans="1:22" ht="14.1" customHeight="1" x14ac:dyDescent="0.2">
      <c r="A25" s="89"/>
      <c r="B25" s="90"/>
      <c r="C25" s="72" t="s">
        <v>624</v>
      </c>
      <c r="D25" s="102">
        <v>116400</v>
      </c>
      <c r="E25" s="71">
        <v>-25000</v>
      </c>
      <c r="F25" s="74">
        <f t="shared" si="11"/>
        <v>91400</v>
      </c>
      <c r="G25" s="74"/>
      <c r="H25" s="74">
        <f t="shared" si="12"/>
        <v>91400</v>
      </c>
      <c r="I25" s="71">
        <v>106146</v>
      </c>
      <c r="J25" s="73">
        <v>226000</v>
      </c>
      <c r="K25" s="74">
        <v>0</v>
      </c>
      <c r="L25" s="74">
        <f t="shared" si="10"/>
        <v>226000</v>
      </c>
      <c r="M25" s="74"/>
      <c r="N25" s="73">
        <f t="shared" si="7"/>
        <v>226000</v>
      </c>
      <c r="O25" s="73">
        <v>184763</v>
      </c>
      <c r="P25" s="67">
        <v>260000</v>
      </c>
      <c r="Q25" s="87">
        <f t="shared" si="3"/>
        <v>0.15044247787610621</v>
      </c>
      <c r="R25" s="88"/>
      <c r="S25" s="88" t="s">
        <v>793</v>
      </c>
      <c r="T25" s="56" t="s">
        <v>1551</v>
      </c>
    </row>
    <row r="26" spans="1:22" ht="12.75" hidden="1" x14ac:dyDescent="0.2">
      <c r="A26" s="68"/>
      <c r="B26" s="90"/>
      <c r="C26" s="72" t="s">
        <v>24</v>
      </c>
      <c r="D26" s="102">
        <v>106000</v>
      </c>
      <c r="E26" s="71"/>
      <c r="F26" s="74">
        <f t="shared" si="11"/>
        <v>106000</v>
      </c>
      <c r="G26" s="74"/>
      <c r="H26" s="74">
        <f t="shared" si="12"/>
        <v>106000</v>
      </c>
      <c r="I26" s="71">
        <v>46304</v>
      </c>
      <c r="J26" s="73"/>
      <c r="K26" s="74">
        <v>0</v>
      </c>
      <c r="L26" s="74">
        <f t="shared" si="10"/>
        <v>0</v>
      </c>
      <c r="M26" s="74"/>
      <c r="N26" s="73">
        <f t="shared" si="7"/>
        <v>0</v>
      </c>
      <c r="O26" s="73"/>
      <c r="P26" s="67">
        <v>0</v>
      </c>
      <c r="Q26" s="87"/>
      <c r="R26" s="88"/>
    </row>
    <row r="27" spans="1:22" ht="14.1" customHeight="1" x14ac:dyDescent="0.2">
      <c r="A27" s="68"/>
      <c r="B27" s="90"/>
      <c r="C27" s="72" t="s">
        <v>25</v>
      </c>
      <c r="D27" s="102">
        <v>78490</v>
      </c>
      <c r="E27" s="71"/>
      <c r="F27" s="74">
        <f t="shared" si="11"/>
        <v>78490</v>
      </c>
      <c r="G27" s="74"/>
      <c r="H27" s="74">
        <f t="shared" si="12"/>
        <v>78490</v>
      </c>
      <c r="I27" s="71">
        <v>58190</v>
      </c>
      <c r="J27" s="73">
        <v>156960</v>
      </c>
      <c r="K27" s="74">
        <v>0</v>
      </c>
      <c r="L27" s="74">
        <f t="shared" si="10"/>
        <v>156960</v>
      </c>
      <c r="M27" s="74"/>
      <c r="N27" s="73">
        <f t="shared" si="7"/>
        <v>156960</v>
      </c>
      <c r="O27" s="73">
        <v>108038</v>
      </c>
      <c r="P27" s="67">
        <v>172500</v>
      </c>
      <c r="Q27" s="87">
        <f t="shared" si="3"/>
        <v>9.9006116207951064E-2</v>
      </c>
      <c r="R27" s="88"/>
      <c r="S27" s="88" t="s">
        <v>794</v>
      </c>
    </row>
    <row r="28" spans="1:22" ht="14.1" customHeight="1" x14ac:dyDescent="0.2">
      <c r="A28" s="68"/>
      <c r="B28" s="90"/>
      <c r="C28" s="72" t="s">
        <v>635</v>
      </c>
      <c r="D28" s="102">
        <v>16438</v>
      </c>
      <c r="E28" s="71">
        <v>-2000</v>
      </c>
      <c r="F28" s="74">
        <f t="shared" si="11"/>
        <v>14438</v>
      </c>
      <c r="G28" s="74"/>
      <c r="H28" s="74">
        <f t="shared" si="12"/>
        <v>14438</v>
      </c>
      <c r="I28" s="71">
        <v>11375</v>
      </c>
      <c r="J28" s="73">
        <v>17661</v>
      </c>
      <c r="K28" s="74">
        <v>0</v>
      </c>
      <c r="L28" s="74">
        <f t="shared" si="10"/>
        <v>17661</v>
      </c>
      <c r="M28" s="74"/>
      <c r="N28" s="73">
        <f t="shared" si="7"/>
        <v>17661</v>
      </c>
      <c r="O28" s="73">
        <v>13820</v>
      </c>
      <c r="P28" s="67">
        <v>19000</v>
      </c>
      <c r="Q28" s="87">
        <f t="shared" si="3"/>
        <v>7.5816771417247047E-2</v>
      </c>
      <c r="R28" s="88"/>
      <c r="S28" s="88" t="s">
        <v>795</v>
      </c>
    </row>
    <row r="29" spans="1:22" ht="14.1" customHeight="1" x14ac:dyDescent="0.2">
      <c r="A29" s="68"/>
      <c r="B29" s="90"/>
      <c r="C29" s="72" t="s">
        <v>26</v>
      </c>
      <c r="D29" s="102">
        <v>54100</v>
      </c>
      <c r="E29" s="71">
        <v>0</v>
      </c>
      <c r="F29" s="74">
        <f t="shared" si="11"/>
        <v>54100</v>
      </c>
      <c r="G29" s="74"/>
      <c r="H29" s="74">
        <f t="shared" si="12"/>
        <v>54100</v>
      </c>
      <c r="I29" s="71">
        <v>48772</v>
      </c>
      <c r="J29" s="73">
        <v>65000</v>
      </c>
      <c r="K29" s="74">
        <v>0</v>
      </c>
      <c r="L29" s="74">
        <f t="shared" si="10"/>
        <v>65000</v>
      </c>
      <c r="M29" s="74"/>
      <c r="N29" s="73">
        <f t="shared" si="7"/>
        <v>65000</v>
      </c>
      <c r="O29" s="73">
        <v>46751</v>
      </c>
      <c r="P29" s="67">
        <v>66100</v>
      </c>
      <c r="Q29" s="87">
        <f t="shared" si="3"/>
        <v>1.6923076923076923E-2</v>
      </c>
      <c r="R29" s="88"/>
      <c r="S29" s="88" t="s">
        <v>796</v>
      </c>
    </row>
    <row r="30" spans="1:22" ht="14.1" customHeight="1" x14ac:dyDescent="0.2">
      <c r="A30" s="68"/>
      <c r="B30" s="90"/>
      <c r="C30" s="72" t="s">
        <v>602</v>
      </c>
      <c r="D30" s="102"/>
      <c r="E30" s="71"/>
      <c r="F30" s="74"/>
      <c r="G30" s="74"/>
      <c r="H30" s="74"/>
      <c r="I30" s="71"/>
      <c r="J30" s="73">
        <v>21300</v>
      </c>
      <c r="K30" s="74">
        <v>0</v>
      </c>
      <c r="L30" s="74">
        <f t="shared" si="10"/>
        <v>21300</v>
      </c>
      <c r="M30" s="74"/>
      <c r="N30" s="73">
        <f t="shared" si="7"/>
        <v>21300</v>
      </c>
      <c r="O30" s="73">
        <v>15594</v>
      </c>
      <c r="P30" s="67">
        <v>32000</v>
      </c>
      <c r="Q30" s="87">
        <f t="shared" si="3"/>
        <v>0.50234741784037562</v>
      </c>
      <c r="R30" s="88"/>
      <c r="S30" s="88" t="s">
        <v>797</v>
      </c>
    </row>
    <row r="31" spans="1:22" ht="12.95" customHeight="1" x14ac:dyDescent="0.2">
      <c r="A31" s="68" t="s">
        <v>768</v>
      </c>
      <c r="B31" s="90"/>
      <c r="C31" s="72" t="s">
        <v>27</v>
      </c>
      <c r="D31" s="102">
        <v>35000</v>
      </c>
      <c r="E31" s="71">
        <v>-25000</v>
      </c>
      <c r="F31" s="74">
        <v>25000</v>
      </c>
      <c r="G31" s="74"/>
      <c r="H31" s="74">
        <v>25000</v>
      </c>
      <c r="I31" s="71">
        <v>44484</v>
      </c>
      <c r="J31" s="73">
        <v>45000</v>
      </c>
      <c r="K31" s="74">
        <v>0</v>
      </c>
      <c r="L31" s="74">
        <f t="shared" si="10"/>
        <v>45000</v>
      </c>
      <c r="M31" s="74"/>
      <c r="N31" s="73">
        <f t="shared" si="7"/>
        <v>45000</v>
      </c>
      <c r="O31" s="73">
        <v>59860</v>
      </c>
      <c r="P31" s="67">
        <v>90000</v>
      </c>
      <c r="Q31" s="87">
        <f t="shared" si="3"/>
        <v>1</v>
      </c>
      <c r="R31" s="88"/>
      <c r="S31" s="88"/>
      <c r="T31" s="56" t="s">
        <v>798</v>
      </c>
    </row>
    <row r="32" spans="1:22" ht="14.1" hidden="1" customHeight="1" x14ac:dyDescent="0.2">
      <c r="A32" s="68"/>
      <c r="B32" s="90"/>
      <c r="C32" s="72"/>
      <c r="D32" s="102"/>
      <c r="E32" s="71"/>
      <c r="F32" s="74"/>
      <c r="G32" s="74"/>
      <c r="H32" s="74"/>
      <c r="I32" s="71"/>
      <c r="J32" s="73"/>
      <c r="K32" s="74"/>
      <c r="L32" s="74"/>
      <c r="M32" s="74"/>
      <c r="N32" s="73">
        <f t="shared" si="7"/>
        <v>0</v>
      </c>
      <c r="O32" s="73"/>
      <c r="P32" s="67"/>
      <c r="Q32" s="87" t="e">
        <f t="shared" si="3"/>
        <v>#DIV/0!</v>
      </c>
      <c r="R32" s="88"/>
    </row>
    <row r="33" spans="1:22" ht="14.1" customHeight="1" x14ac:dyDescent="0.2">
      <c r="A33" s="68" t="s">
        <v>761</v>
      </c>
      <c r="B33" s="90"/>
      <c r="C33" s="72" t="s">
        <v>28</v>
      </c>
      <c r="D33" s="102">
        <v>0</v>
      </c>
      <c r="E33" s="71"/>
      <c r="F33" s="74">
        <f>+E33+D33</f>
        <v>0</v>
      </c>
      <c r="G33" s="74"/>
      <c r="H33" s="74">
        <f>+G33+F33</f>
        <v>0</v>
      </c>
      <c r="I33" s="71">
        <v>0</v>
      </c>
      <c r="J33" s="73">
        <v>0</v>
      </c>
      <c r="K33" s="74">
        <v>0</v>
      </c>
      <c r="L33" s="74">
        <f t="shared" si="10"/>
        <v>0</v>
      </c>
      <c r="M33" s="74"/>
      <c r="N33" s="73">
        <f t="shared" si="7"/>
        <v>0</v>
      </c>
      <c r="O33" s="73">
        <v>1996</v>
      </c>
      <c r="P33" s="67">
        <v>2000</v>
      </c>
      <c r="Q33" s="87">
        <v>1</v>
      </c>
      <c r="R33" s="88"/>
    </row>
    <row r="34" spans="1:22" ht="14.1" customHeight="1" x14ac:dyDescent="0.2">
      <c r="A34" s="68" t="s">
        <v>771</v>
      </c>
      <c r="B34" s="90"/>
      <c r="C34" s="72" t="s">
        <v>29</v>
      </c>
      <c r="D34" s="102">
        <v>0</v>
      </c>
      <c r="E34" s="71"/>
      <c r="F34" s="74">
        <f>+E34+D34</f>
        <v>0</v>
      </c>
      <c r="G34" s="74"/>
      <c r="H34" s="74">
        <f>+G34+F34</f>
        <v>0</v>
      </c>
      <c r="I34" s="71">
        <v>2324</v>
      </c>
      <c r="J34" s="73">
        <v>0</v>
      </c>
      <c r="K34" s="74">
        <v>0</v>
      </c>
      <c r="L34" s="74">
        <f t="shared" si="10"/>
        <v>0</v>
      </c>
      <c r="M34" s="74"/>
      <c r="N34" s="73">
        <f t="shared" si="7"/>
        <v>0</v>
      </c>
      <c r="O34" s="73">
        <v>6418</v>
      </c>
      <c r="P34" s="67">
        <v>5000</v>
      </c>
      <c r="Q34" s="87">
        <v>1</v>
      </c>
      <c r="R34" s="88"/>
    </row>
    <row r="35" spans="1:22" ht="14.1" customHeight="1" x14ac:dyDescent="0.2">
      <c r="A35" s="68" t="s">
        <v>769</v>
      </c>
      <c r="B35" s="90"/>
      <c r="C35" s="72" t="s">
        <v>603</v>
      </c>
      <c r="D35" s="102">
        <v>25000</v>
      </c>
      <c r="E35" s="71"/>
      <c r="F35" s="74">
        <v>10000</v>
      </c>
      <c r="G35" s="74">
        <v>2770</v>
      </c>
      <c r="H35" s="74">
        <v>10000</v>
      </c>
      <c r="I35" s="71">
        <v>7454</v>
      </c>
      <c r="J35" s="73">
        <v>0</v>
      </c>
      <c r="K35" s="74">
        <v>0</v>
      </c>
      <c r="L35" s="74">
        <f t="shared" si="10"/>
        <v>0</v>
      </c>
      <c r="M35" s="74"/>
      <c r="N35" s="73">
        <f t="shared" si="7"/>
        <v>0</v>
      </c>
      <c r="O35" s="73">
        <v>7998</v>
      </c>
      <c r="P35" s="67">
        <v>4000</v>
      </c>
      <c r="Q35" s="87">
        <v>1</v>
      </c>
      <c r="R35" s="88"/>
    </row>
    <row r="36" spans="1:22" ht="13.5" customHeight="1" x14ac:dyDescent="0.2">
      <c r="A36" s="68" t="s">
        <v>770</v>
      </c>
      <c r="B36" s="90"/>
      <c r="C36" s="72" t="s">
        <v>597</v>
      </c>
      <c r="D36" s="102"/>
      <c r="E36" s="71"/>
      <c r="F36" s="74"/>
      <c r="G36" s="74"/>
      <c r="H36" s="74"/>
      <c r="I36" s="71">
        <v>960</v>
      </c>
      <c r="J36" s="73"/>
      <c r="K36" s="74">
        <v>0</v>
      </c>
      <c r="L36" s="74">
        <f t="shared" si="10"/>
        <v>0</v>
      </c>
      <c r="M36" s="74"/>
      <c r="N36" s="73">
        <f t="shared" si="7"/>
        <v>0</v>
      </c>
      <c r="O36" s="73">
        <v>2770</v>
      </c>
      <c r="P36" s="67">
        <v>2500</v>
      </c>
      <c r="Q36" s="87">
        <v>1</v>
      </c>
      <c r="R36" s="88"/>
    </row>
    <row r="37" spans="1:22" ht="14.1" hidden="1" customHeight="1" x14ac:dyDescent="0.2">
      <c r="A37" s="68"/>
      <c r="B37" s="90"/>
      <c r="C37" s="72" t="s">
        <v>598</v>
      </c>
      <c r="D37" s="102"/>
      <c r="E37" s="71"/>
      <c r="F37" s="74"/>
      <c r="G37" s="74"/>
      <c r="H37" s="74"/>
      <c r="I37" s="71">
        <v>615</v>
      </c>
      <c r="J37" s="73"/>
      <c r="K37" s="74">
        <v>0</v>
      </c>
      <c r="L37" s="74">
        <f t="shared" si="10"/>
        <v>0</v>
      </c>
      <c r="M37" s="74"/>
      <c r="N37" s="73">
        <f t="shared" si="7"/>
        <v>0</v>
      </c>
      <c r="O37" s="73"/>
      <c r="P37" s="67"/>
      <c r="Q37" s="87" t="e">
        <f t="shared" si="3"/>
        <v>#DIV/0!</v>
      </c>
      <c r="R37" s="88"/>
    </row>
    <row r="38" spans="1:22" s="53" customFormat="1" ht="14.1" customHeight="1" x14ac:dyDescent="0.2">
      <c r="A38" s="105" t="s">
        <v>30</v>
      </c>
      <c r="B38" s="95">
        <v>3221</v>
      </c>
      <c r="C38" s="96" t="s">
        <v>31</v>
      </c>
      <c r="D38" s="43">
        <v>11800</v>
      </c>
      <c r="E38" s="97">
        <f>+E39+E41+E42+E43+E44+E45+E46</f>
        <v>-3900</v>
      </c>
      <c r="F38" s="98">
        <f>+E38+D38</f>
        <v>7900</v>
      </c>
      <c r="G38" s="98">
        <f>SUM(G39:G46)</f>
        <v>794</v>
      </c>
      <c r="H38" s="98">
        <f>+G38+F38</f>
        <v>8694</v>
      </c>
      <c r="I38" s="97">
        <f>SUM(I39:I46)</f>
        <v>12986</v>
      </c>
      <c r="J38" s="97">
        <f>SUM(J39:J46)</f>
        <v>13492</v>
      </c>
      <c r="K38" s="97">
        <f>SUM(K39:K46)</f>
        <v>0</v>
      </c>
      <c r="L38" s="97">
        <f>SUM(L39:L46)</f>
        <v>13492</v>
      </c>
      <c r="M38" s="97">
        <f>SUM(M39:M46)</f>
        <v>18700</v>
      </c>
      <c r="N38" s="43">
        <f t="shared" ref="N38:P38" si="13">SUM(N39:N46)</f>
        <v>32192</v>
      </c>
      <c r="O38" s="43">
        <f t="shared" si="13"/>
        <v>34687</v>
      </c>
      <c r="P38" s="101">
        <f t="shared" si="13"/>
        <v>43800</v>
      </c>
      <c r="Q38" s="87">
        <f t="shared" si="3"/>
        <v>0.36058648111332009</v>
      </c>
      <c r="R38" s="88"/>
      <c r="S38" s="56"/>
      <c r="T38" s="56"/>
      <c r="U38" s="56"/>
      <c r="V38" s="56"/>
    </row>
    <row r="39" spans="1:22" ht="14.1" customHeight="1" x14ac:dyDescent="0.2">
      <c r="A39" s="68" t="s">
        <v>772</v>
      </c>
      <c r="B39" s="106"/>
      <c r="C39" s="72" t="s">
        <v>32</v>
      </c>
      <c r="D39" s="102">
        <v>2500</v>
      </c>
      <c r="E39" s="71">
        <v>-1500</v>
      </c>
      <c r="F39" s="74">
        <f>+E39+D39</f>
        <v>1000</v>
      </c>
      <c r="G39" s="74"/>
      <c r="H39" s="74">
        <f>+G39+F39</f>
        <v>1000</v>
      </c>
      <c r="I39" s="71">
        <v>0</v>
      </c>
      <c r="J39" s="73">
        <v>1000</v>
      </c>
      <c r="K39" s="74">
        <v>0</v>
      </c>
      <c r="L39" s="74">
        <f t="shared" si="10"/>
        <v>1000</v>
      </c>
      <c r="M39" s="74">
        <v>1000</v>
      </c>
      <c r="N39" s="73">
        <f>+M39+L39</f>
        <v>2000</v>
      </c>
      <c r="O39" s="73">
        <v>2338</v>
      </c>
      <c r="P39" s="67">
        <v>2500</v>
      </c>
      <c r="Q39" s="87">
        <f t="shared" si="3"/>
        <v>0.25</v>
      </c>
      <c r="R39" s="88"/>
    </row>
    <row r="40" spans="1:22" ht="14.1" customHeight="1" x14ac:dyDescent="0.2">
      <c r="A40" s="68" t="s">
        <v>773</v>
      </c>
      <c r="B40" s="106"/>
      <c r="C40" s="72" t="s">
        <v>34</v>
      </c>
      <c r="D40" s="102">
        <v>2500</v>
      </c>
      <c r="E40" s="71">
        <v>-1500</v>
      </c>
      <c r="F40" s="74">
        <v>1000</v>
      </c>
      <c r="G40" s="74"/>
      <c r="H40" s="74">
        <v>1000</v>
      </c>
      <c r="I40" s="71">
        <v>2070</v>
      </c>
      <c r="J40" s="73">
        <v>2000</v>
      </c>
      <c r="K40" s="74">
        <v>0</v>
      </c>
      <c r="L40" s="74">
        <f t="shared" ref="L40" si="14">+K40+J40</f>
        <v>2000</v>
      </c>
      <c r="M40" s="74">
        <v>1000</v>
      </c>
      <c r="N40" s="73">
        <f t="shared" ref="N40:N46" si="15">+M40+L40</f>
        <v>3000</v>
      </c>
      <c r="O40" s="73">
        <v>2788</v>
      </c>
      <c r="P40" s="67">
        <v>4200</v>
      </c>
      <c r="Q40" s="87">
        <f t="shared" si="3"/>
        <v>0.4</v>
      </c>
      <c r="R40" s="88"/>
    </row>
    <row r="41" spans="1:22" ht="14.1" customHeight="1" x14ac:dyDescent="0.2">
      <c r="A41" s="68" t="s">
        <v>774</v>
      </c>
      <c r="B41" s="106"/>
      <c r="C41" s="72" t="s">
        <v>33</v>
      </c>
      <c r="D41" s="102">
        <v>4800</v>
      </c>
      <c r="E41" s="71">
        <v>-2000</v>
      </c>
      <c r="F41" s="74">
        <f t="shared" ref="F41:F53" si="16">+E41+D41</f>
        <v>2800</v>
      </c>
      <c r="G41" s="74"/>
      <c r="H41" s="74">
        <f>+G41+F41</f>
        <v>2800</v>
      </c>
      <c r="I41" s="71">
        <v>4062</v>
      </c>
      <c r="J41" s="73">
        <v>9492</v>
      </c>
      <c r="K41" s="74">
        <v>0</v>
      </c>
      <c r="L41" s="74">
        <f t="shared" si="10"/>
        <v>9492</v>
      </c>
      <c r="M41" s="74">
        <v>15000</v>
      </c>
      <c r="N41" s="73">
        <f t="shared" si="15"/>
        <v>24492</v>
      </c>
      <c r="O41" s="73">
        <v>26420</v>
      </c>
      <c r="P41" s="67">
        <v>31000</v>
      </c>
      <c r="Q41" s="87">
        <f t="shared" si="3"/>
        <v>0.26571941858566062</v>
      </c>
      <c r="R41" s="107"/>
    </row>
    <row r="42" spans="1:22" ht="12.75" x14ac:dyDescent="0.2">
      <c r="A42" s="68" t="s">
        <v>777</v>
      </c>
      <c r="B42" s="106"/>
      <c r="C42" s="72" t="s">
        <v>35</v>
      </c>
      <c r="D42" s="102">
        <v>2000</v>
      </c>
      <c r="E42" s="71">
        <v>-1000</v>
      </c>
      <c r="F42" s="74">
        <f t="shared" si="16"/>
        <v>1000</v>
      </c>
      <c r="G42" s="74"/>
      <c r="H42" s="74">
        <f t="shared" ref="H42:H53" si="17">+G42+F42</f>
        <v>1000</v>
      </c>
      <c r="I42" s="71">
        <v>528</v>
      </c>
      <c r="J42" s="73">
        <v>1000</v>
      </c>
      <c r="K42" s="74">
        <v>0</v>
      </c>
      <c r="L42" s="74">
        <f t="shared" si="10"/>
        <v>1000</v>
      </c>
      <c r="M42" s="74">
        <v>1000</v>
      </c>
      <c r="N42" s="73">
        <f t="shared" si="15"/>
        <v>2000</v>
      </c>
      <c r="O42" s="73">
        <v>2019</v>
      </c>
      <c r="P42" s="67">
        <v>5000</v>
      </c>
      <c r="Q42" s="87">
        <f t="shared" si="3"/>
        <v>1.5</v>
      </c>
      <c r="R42" s="107"/>
    </row>
    <row r="43" spans="1:22" ht="12.75" x14ac:dyDescent="0.2">
      <c r="A43" s="68"/>
      <c r="B43" s="106"/>
      <c r="C43" s="72" t="s">
        <v>36</v>
      </c>
      <c r="D43" s="102">
        <v>0</v>
      </c>
      <c r="E43" s="71"/>
      <c r="F43" s="74">
        <f t="shared" si="16"/>
        <v>0</v>
      </c>
      <c r="G43" s="74">
        <v>794</v>
      </c>
      <c r="H43" s="74">
        <f t="shared" si="17"/>
        <v>794</v>
      </c>
      <c r="I43" s="71">
        <v>794</v>
      </c>
      <c r="J43" s="73">
        <v>0</v>
      </c>
      <c r="K43" s="74">
        <v>0</v>
      </c>
      <c r="L43" s="74">
        <f t="shared" si="10"/>
        <v>0</v>
      </c>
      <c r="M43" s="74"/>
      <c r="N43" s="73">
        <f t="shared" si="15"/>
        <v>0</v>
      </c>
      <c r="O43" s="73"/>
      <c r="P43" s="67"/>
      <c r="Q43" s="87">
        <v>0</v>
      </c>
      <c r="R43" s="107"/>
    </row>
    <row r="44" spans="1:22" ht="12.95" customHeight="1" x14ac:dyDescent="0.2">
      <c r="A44" s="68" t="s">
        <v>775</v>
      </c>
      <c r="B44" s="106"/>
      <c r="C44" s="72" t="s">
        <v>1585</v>
      </c>
      <c r="D44" s="102">
        <v>0</v>
      </c>
      <c r="E44" s="71"/>
      <c r="F44" s="74">
        <f t="shared" si="16"/>
        <v>0</v>
      </c>
      <c r="G44" s="74"/>
      <c r="H44" s="74">
        <f t="shared" si="17"/>
        <v>0</v>
      </c>
      <c r="I44" s="71">
        <v>4740</v>
      </c>
      <c r="J44" s="73">
        <v>0</v>
      </c>
      <c r="K44" s="74">
        <v>0</v>
      </c>
      <c r="L44" s="74">
        <f t="shared" si="10"/>
        <v>0</v>
      </c>
      <c r="M44" s="74">
        <v>650</v>
      </c>
      <c r="N44" s="73">
        <f t="shared" si="15"/>
        <v>650</v>
      </c>
      <c r="O44" s="73">
        <v>1050</v>
      </c>
      <c r="P44" s="67">
        <v>1000</v>
      </c>
      <c r="Q44" s="87">
        <f t="shared" si="3"/>
        <v>0.53846153846153844</v>
      </c>
      <c r="R44" s="107"/>
    </row>
    <row r="45" spans="1:22" ht="12.75" x14ac:dyDescent="0.2">
      <c r="A45" s="68"/>
      <c r="B45" s="106"/>
      <c r="C45" s="72" t="s">
        <v>37</v>
      </c>
      <c r="D45" s="102"/>
      <c r="E45" s="71">
        <v>300</v>
      </c>
      <c r="F45" s="74">
        <f t="shared" si="16"/>
        <v>300</v>
      </c>
      <c r="G45" s="74"/>
      <c r="H45" s="74">
        <f t="shared" si="17"/>
        <v>300</v>
      </c>
      <c r="I45" s="71">
        <v>300</v>
      </c>
      <c r="J45" s="73">
        <v>0</v>
      </c>
      <c r="K45" s="74">
        <v>0</v>
      </c>
      <c r="L45" s="74">
        <f t="shared" si="10"/>
        <v>0</v>
      </c>
      <c r="M45" s="74"/>
      <c r="N45" s="73">
        <f t="shared" si="15"/>
        <v>0</v>
      </c>
      <c r="O45" s="73"/>
      <c r="P45" s="67">
        <v>0</v>
      </c>
      <c r="Q45" s="87">
        <v>0</v>
      </c>
      <c r="R45" s="107"/>
    </row>
    <row r="46" spans="1:22" ht="14.1" customHeight="1" x14ac:dyDescent="0.2">
      <c r="A46" s="68" t="s">
        <v>776</v>
      </c>
      <c r="B46" s="106"/>
      <c r="C46" s="72" t="s">
        <v>38</v>
      </c>
      <c r="D46" s="102">
        <v>0</v>
      </c>
      <c r="E46" s="71">
        <v>300</v>
      </c>
      <c r="F46" s="74">
        <f t="shared" si="16"/>
        <v>300</v>
      </c>
      <c r="G46" s="74"/>
      <c r="H46" s="74">
        <f t="shared" si="17"/>
        <v>300</v>
      </c>
      <c r="I46" s="71">
        <v>492</v>
      </c>
      <c r="J46" s="73">
        <v>0</v>
      </c>
      <c r="K46" s="74">
        <v>0</v>
      </c>
      <c r="L46" s="74">
        <f t="shared" si="10"/>
        <v>0</v>
      </c>
      <c r="M46" s="74">
        <v>50</v>
      </c>
      <c r="N46" s="73">
        <f t="shared" si="15"/>
        <v>50</v>
      </c>
      <c r="O46" s="73">
        <v>72</v>
      </c>
      <c r="P46" s="67">
        <v>100</v>
      </c>
      <c r="Q46" s="87">
        <f t="shared" si="3"/>
        <v>1</v>
      </c>
      <c r="R46" s="107"/>
    </row>
    <row r="47" spans="1:22" s="53" customFormat="1" ht="14.1" customHeight="1" x14ac:dyDescent="0.2">
      <c r="A47" s="105">
        <v>3222</v>
      </c>
      <c r="B47" s="95">
        <v>3222</v>
      </c>
      <c r="C47" s="96" t="s">
        <v>39</v>
      </c>
      <c r="D47" s="43">
        <v>106350</v>
      </c>
      <c r="E47" s="97">
        <f>+E48+E49+E50+E51+E52+E53+E54+E55</f>
        <v>-3000</v>
      </c>
      <c r="F47" s="98">
        <f t="shared" si="16"/>
        <v>103350</v>
      </c>
      <c r="G47" s="98">
        <v>0</v>
      </c>
      <c r="H47" s="98">
        <f t="shared" si="17"/>
        <v>103350</v>
      </c>
      <c r="I47" s="97">
        <f>SUM(I48:I55)</f>
        <v>79517</v>
      </c>
      <c r="J47" s="97">
        <f t="shared" ref="J47:P47" si="18">SUM(J48:J55)</f>
        <v>156000</v>
      </c>
      <c r="K47" s="97">
        <f t="shared" si="18"/>
        <v>0</v>
      </c>
      <c r="L47" s="97">
        <f t="shared" si="18"/>
        <v>156000</v>
      </c>
      <c r="M47" s="97">
        <f t="shared" si="18"/>
        <v>0</v>
      </c>
      <c r="N47" s="43">
        <f t="shared" si="18"/>
        <v>156000</v>
      </c>
      <c r="O47" s="43">
        <f t="shared" si="18"/>
        <v>124410</v>
      </c>
      <c r="P47" s="101">
        <f t="shared" si="18"/>
        <v>179000</v>
      </c>
      <c r="Q47" s="87">
        <f t="shared" si="3"/>
        <v>0.14743589743589744</v>
      </c>
      <c r="R47" s="107"/>
      <c r="S47" s="56"/>
      <c r="T47" s="56"/>
      <c r="U47" s="56"/>
      <c r="V47" s="56"/>
    </row>
    <row r="48" spans="1:22" ht="14.1" customHeight="1" x14ac:dyDescent="0.2">
      <c r="A48" s="89"/>
      <c r="B48" s="90"/>
      <c r="C48" s="72" t="s">
        <v>40</v>
      </c>
      <c r="D48" s="102">
        <v>43350</v>
      </c>
      <c r="E48" s="71">
        <v>-15000</v>
      </c>
      <c r="F48" s="74">
        <f t="shared" si="16"/>
        <v>28350</v>
      </c>
      <c r="G48" s="74"/>
      <c r="H48" s="74">
        <f t="shared" si="17"/>
        <v>28350</v>
      </c>
      <c r="I48" s="71">
        <v>18601</v>
      </c>
      <c r="J48" s="73">
        <v>50000</v>
      </c>
      <c r="K48" s="74">
        <v>0</v>
      </c>
      <c r="L48" s="74">
        <f t="shared" si="10"/>
        <v>50000</v>
      </c>
      <c r="M48" s="74"/>
      <c r="N48" s="73">
        <f t="shared" ref="N48:N55" si="19">+M48+L48</f>
        <v>50000</v>
      </c>
      <c r="O48" s="73">
        <v>35617</v>
      </c>
      <c r="P48" s="67">
        <v>80000</v>
      </c>
      <c r="Q48" s="87">
        <f t="shared" si="3"/>
        <v>0.6</v>
      </c>
      <c r="S48" s="107" t="s">
        <v>799</v>
      </c>
      <c r="T48" s="56" t="s">
        <v>1392</v>
      </c>
    </row>
    <row r="49" spans="1:18" ht="14.1" customHeight="1" x14ac:dyDescent="0.2">
      <c r="A49" s="89"/>
      <c r="B49" s="90"/>
      <c r="C49" s="72" t="s">
        <v>41</v>
      </c>
      <c r="D49" s="102">
        <v>25000</v>
      </c>
      <c r="E49" s="71">
        <v>-5000</v>
      </c>
      <c r="F49" s="74">
        <f t="shared" si="16"/>
        <v>20000</v>
      </c>
      <c r="G49" s="74"/>
      <c r="H49" s="74">
        <f t="shared" si="17"/>
        <v>20000</v>
      </c>
      <c r="I49" s="71">
        <v>13304</v>
      </c>
      <c r="J49" s="73">
        <v>22000</v>
      </c>
      <c r="K49" s="74">
        <v>0</v>
      </c>
      <c r="L49" s="74">
        <f t="shared" si="10"/>
        <v>22000</v>
      </c>
      <c r="M49" s="74"/>
      <c r="N49" s="73">
        <f t="shared" si="19"/>
        <v>22000</v>
      </c>
      <c r="O49" s="73">
        <v>14672</v>
      </c>
      <c r="P49" s="67">
        <v>15000</v>
      </c>
      <c r="Q49" s="87">
        <f t="shared" si="3"/>
        <v>-0.31818181818181818</v>
      </c>
      <c r="R49" s="107"/>
    </row>
    <row r="50" spans="1:18" ht="14.1" customHeight="1" x14ac:dyDescent="0.2">
      <c r="A50" s="89"/>
      <c r="B50" s="90"/>
      <c r="C50" s="72" t="s">
        <v>42</v>
      </c>
      <c r="D50" s="102">
        <v>18000</v>
      </c>
      <c r="E50" s="71">
        <v>-10000</v>
      </c>
      <c r="F50" s="74">
        <f t="shared" si="16"/>
        <v>8000</v>
      </c>
      <c r="G50" s="74"/>
      <c r="H50" s="74">
        <f t="shared" si="17"/>
        <v>8000</v>
      </c>
      <c r="I50" s="71">
        <v>9004</v>
      </c>
      <c r="J50" s="73">
        <v>18000</v>
      </c>
      <c r="K50" s="74">
        <v>0</v>
      </c>
      <c r="L50" s="74">
        <f t="shared" si="10"/>
        <v>18000</v>
      </c>
      <c r="M50" s="74"/>
      <c r="N50" s="73">
        <f t="shared" si="19"/>
        <v>18000</v>
      </c>
      <c r="O50" s="73">
        <f>17613+200</f>
        <v>17813</v>
      </c>
      <c r="P50" s="67">
        <v>18000</v>
      </c>
      <c r="Q50" s="87">
        <f t="shared" si="3"/>
        <v>0</v>
      </c>
      <c r="R50" s="107"/>
    </row>
    <row r="51" spans="1:18" ht="14.1" customHeight="1" x14ac:dyDescent="0.2">
      <c r="A51" s="89"/>
      <c r="B51" s="90"/>
      <c r="C51" s="72" t="s">
        <v>627</v>
      </c>
      <c r="D51" s="102">
        <v>10000</v>
      </c>
      <c r="E51" s="71">
        <v>-4000</v>
      </c>
      <c r="F51" s="74">
        <f t="shared" si="16"/>
        <v>6000</v>
      </c>
      <c r="G51" s="74"/>
      <c r="H51" s="74">
        <f t="shared" si="17"/>
        <v>6000</v>
      </c>
      <c r="I51" s="71">
        <v>2610</v>
      </c>
      <c r="J51" s="73">
        <v>27000</v>
      </c>
      <c r="K51" s="74">
        <v>0</v>
      </c>
      <c r="L51" s="74">
        <f t="shared" si="10"/>
        <v>27000</v>
      </c>
      <c r="M51" s="74"/>
      <c r="N51" s="73">
        <f t="shared" si="19"/>
        <v>27000</v>
      </c>
      <c r="O51" s="73">
        <v>24267</v>
      </c>
      <c r="P51" s="67">
        <v>24000</v>
      </c>
      <c r="Q51" s="87">
        <f t="shared" si="3"/>
        <v>-0.1111111111111111</v>
      </c>
      <c r="R51" s="88"/>
    </row>
    <row r="52" spans="1:18" ht="14.1" customHeight="1" x14ac:dyDescent="0.2">
      <c r="A52" s="89"/>
      <c r="B52" s="90"/>
      <c r="C52" s="72" t="s">
        <v>43</v>
      </c>
      <c r="D52" s="102">
        <v>5000</v>
      </c>
      <c r="E52" s="71">
        <v>25000</v>
      </c>
      <c r="F52" s="74">
        <f t="shared" si="16"/>
        <v>30000</v>
      </c>
      <c r="G52" s="74"/>
      <c r="H52" s="74">
        <f t="shared" si="17"/>
        <v>30000</v>
      </c>
      <c r="I52" s="71">
        <v>27603</v>
      </c>
      <c r="J52" s="73">
        <v>30000</v>
      </c>
      <c r="K52" s="74">
        <v>0</v>
      </c>
      <c r="L52" s="74">
        <f t="shared" si="10"/>
        <v>30000</v>
      </c>
      <c r="M52" s="74"/>
      <c r="N52" s="73">
        <f t="shared" si="19"/>
        <v>30000</v>
      </c>
      <c r="O52" s="73">
        <v>24504</v>
      </c>
      <c r="P52" s="67">
        <v>25000</v>
      </c>
      <c r="Q52" s="87">
        <f t="shared" si="3"/>
        <v>-0.16666666666666666</v>
      </c>
      <c r="R52" s="88"/>
    </row>
    <row r="53" spans="1:18" ht="14.1" customHeight="1" x14ac:dyDescent="0.2">
      <c r="A53" s="89"/>
      <c r="B53" s="90"/>
      <c r="C53" s="72" t="s">
        <v>625</v>
      </c>
      <c r="D53" s="102">
        <v>2500</v>
      </c>
      <c r="E53" s="71">
        <v>-1000</v>
      </c>
      <c r="F53" s="74">
        <f t="shared" si="16"/>
        <v>1500</v>
      </c>
      <c r="G53" s="74"/>
      <c r="H53" s="74">
        <f t="shared" si="17"/>
        <v>1500</v>
      </c>
      <c r="I53" s="71">
        <v>1480</v>
      </c>
      <c r="J53" s="73">
        <v>1600</v>
      </c>
      <c r="K53" s="74">
        <v>0</v>
      </c>
      <c r="L53" s="74">
        <f t="shared" si="10"/>
        <v>1600</v>
      </c>
      <c r="M53" s="74"/>
      <c r="N53" s="73">
        <f t="shared" si="19"/>
        <v>1600</v>
      </c>
      <c r="O53" s="73">
        <v>2015</v>
      </c>
      <c r="P53" s="67">
        <v>1500</v>
      </c>
      <c r="Q53" s="87">
        <f t="shared" si="3"/>
        <v>-6.25E-2</v>
      </c>
      <c r="R53" s="88"/>
    </row>
    <row r="54" spans="1:18" ht="14.1" customHeight="1" x14ac:dyDescent="0.2">
      <c r="A54" s="89"/>
      <c r="B54" s="90"/>
      <c r="C54" s="72" t="s">
        <v>637</v>
      </c>
      <c r="D54" s="102"/>
      <c r="E54" s="71">
        <v>8000</v>
      </c>
      <c r="F54" s="74">
        <v>8000</v>
      </c>
      <c r="G54" s="74"/>
      <c r="H54" s="74">
        <v>8000</v>
      </c>
      <c r="I54" s="71">
        <v>5680</v>
      </c>
      <c r="J54" s="73">
        <v>5000</v>
      </c>
      <c r="K54" s="74">
        <v>0</v>
      </c>
      <c r="L54" s="74">
        <f t="shared" si="10"/>
        <v>5000</v>
      </c>
      <c r="M54" s="74"/>
      <c r="N54" s="73">
        <f t="shared" si="19"/>
        <v>5000</v>
      </c>
      <c r="O54" s="73">
        <v>4150</v>
      </c>
      <c r="P54" s="67">
        <v>13500</v>
      </c>
      <c r="Q54" s="87">
        <f t="shared" si="3"/>
        <v>1.7</v>
      </c>
      <c r="R54" s="88"/>
    </row>
    <row r="55" spans="1:18" ht="14.1" customHeight="1" x14ac:dyDescent="0.2">
      <c r="A55" s="89"/>
      <c r="B55" s="90"/>
      <c r="C55" s="72" t="s">
        <v>626</v>
      </c>
      <c r="D55" s="102">
        <v>2500</v>
      </c>
      <c r="E55" s="71">
        <v>-1000</v>
      </c>
      <c r="F55" s="74">
        <f>+E55+D55</f>
        <v>1500</v>
      </c>
      <c r="G55" s="74"/>
      <c r="H55" s="74">
        <f t="shared" ref="H55:H74" si="20">+G55+F55</f>
        <v>1500</v>
      </c>
      <c r="I55" s="71">
        <v>1235</v>
      </c>
      <c r="J55" s="102">
        <v>2400</v>
      </c>
      <c r="K55" s="74">
        <v>0</v>
      </c>
      <c r="L55" s="74">
        <f t="shared" si="10"/>
        <v>2400</v>
      </c>
      <c r="M55" s="74"/>
      <c r="N55" s="73">
        <f t="shared" si="19"/>
        <v>2400</v>
      </c>
      <c r="O55" s="73">
        <v>1372</v>
      </c>
      <c r="P55" s="67">
        <v>2000</v>
      </c>
      <c r="Q55" s="87">
        <f t="shared" si="3"/>
        <v>-0.16666666666666666</v>
      </c>
      <c r="R55" s="107"/>
    </row>
    <row r="56" spans="1:18" ht="14.1" customHeight="1" x14ac:dyDescent="0.2">
      <c r="A56" s="94">
        <v>3224</v>
      </c>
      <c r="B56" s="95">
        <v>3224</v>
      </c>
      <c r="C56" s="96" t="s">
        <v>44</v>
      </c>
      <c r="D56" s="98">
        <f t="shared" ref="D56:O56" si="21">SUM(D57:D68)</f>
        <v>59700</v>
      </c>
      <c r="E56" s="98">
        <f t="shared" si="21"/>
        <v>0</v>
      </c>
      <c r="F56" s="98">
        <f t="shared" si="21"/>
        <v>59700</v>
      </c>
      <c r="G56" s="98">
        <f t="shared" si="21"/>
        <v>41500</v>
      </c>
      <c r="H56" s="98">
        <f t="shared" si="21"/>
        <v>101200</v>
      </c>
      <c r="I56" s="98">
        <f t="shared" si="21"/>
        <v>71066</v>
      </c>
      <c r="J56" s="98">
        <f t="shared" si="21"/>
        <v>72500</v>
      </c>
      <c r="K56" s="98">
        <f t="shared" si="21"/>
        <v>13000</v>
      </c>
      <c r="L56" s="98">
        <f t="shared" si="21"/>
        <v>85500</v>
      </c>
      <c r="M56" s="98">
        <f t="shared" si="21"/>
        <v>0</v>
      </c>
      <c r="N56" s="99">
        <f t="shared" si="21"/>
        <v>85500</v>
      </c>
      <c r="O56" s="99">
        <f t="shared" si="21"/>
        <v>86725</v>
      </c>
      <c r="P56" s="100">
        <f>SUM(P57:P68)</f>
        <v>103500</v>
      </c>
      <c r="Q56" s="87">
        <f t="shared" si="3"/>
        <v>0.21052631578947367</v>
      </c>
      <c r="R56" s="88"/>
    </row>
    <row r="57" spans="1:18" ht="14.1" customHeight="1" x14ac:dyDescent="0.2">
      <c r="A57" s="94"/>
      <c r="B57" s="95"/>
      <c r="C57" s="72" t="s">
        <v>45</v>
      </c>
      <c r="D57" s="102">
        <v>0</v>
      </c>
      <c r="E57" s="71"/>
      <c r="F57" s="74">
        <f t="shared" ref="F57:F75" si="22">+E57+D57</f>
        <v>0</v>
      </c>
      <c r="G57" s="74"/>
      <c r="H57" s="74">
        <f t="shared" si="20"/>
        <v>0</v>
      </c>
      <c r="I57" s="71">
        <v>210</v>
      </c>
      <c r="J57" s="73">
        <v>0</v>
      </c>
      <c r="K57" s="74">
        <v>0</v>
      </c>
      <c r="L57" s="74">
        <f t="shared" si="10"/>
        <v>0</v>
      </c>
      <c r="M57" s="74"/>
      <c r="N57" s="73">
        <f t="shared" ref="N57:N74" si="23">+M57+L57</f>
        <v>0</v>
      </c>
      <c r="O57" s="73">
        <v>-20</v>
      </c>
      <c r="P57" s="67">
        <v>0</v>
      </c>
      <c r="Q57" s="87" t="e">
        <f t="shared" si="3"/>
        <v>#DIV/0!</v>
      </c>
      <c r="R57" s="88"/>
    </row>
    <row r="58" spans="1:18" ht="14.1" customHeight="1" x14ac:dyDescent="0.2">
      <c r="A58" s="94"/>
      <c r="B58" s="95"/>
      <c r="C58" s="72" t="s">
        <v>1281</v>
      </c>
      <c r="D58" s="102">
        <v>0</v>
      </c>
      <c r="E58" s="71"/>
      <c r="F58" s="74">
        <f t="shared" si="22"/>
        <v>0</v>
      </c>
      <c r="G58" s="74"/>
      <c r="H58" s="74">
        <f t="shared" si="20"/>
        <v>0</v>
      </c>
      <c r="I58" s="71">
        <v>1151</v>
      </c>
      <c r="J58" s="73">
        <v>0</v>
      </c>
      <c r="K58" s="74">
        <v>0</v>
      </c>
      <c r="L58" s="74">
        <f t="shared" si="10"/>
        <v>0</v>
      </c>
      <c r="M58" s="74"/>
      <c r="N58" s="73">
        <f t="shared" si="23"/>
        <v>0</v>
      </c>
      <c r="O58" s="73"/>
      <c r="P58" s="67">
        <v>12000</v>
      </c>
      <c r="Q58" s="87" t="e">
        <f t="shared" si="3"/>
        <v>#DIV/0!</v>
      </c>
      <c r="R58" s="88"/>
    </row>
    <row r="59" spans="1:18" ht="14.1" customHeight="1" x14ac:dyDescent="0.2">
      <c r="A59" s="94" t="s">
        <v>778</v>
      </c>
      <c r="B59" s="95"/>
      <c r="C59" s="72" t="s">
        <v>630</v>
      </c>
      <c r="D59" s="102">
        <v>30000</v>
      </c>
      <c r="E59" s="71"/>
      <c r="F59" s="74">
        <f t="shared" si="22"/>
        <v>30000</v>
      </c>
      <c r="G59" s="74"/>
      <c r="H59" s="74">
        <f t="shared" si="20"/>
        <v>30000</v>
      </c>
      <c r="I59" s="71">
        <v>24061</v>
      </c>
      <c r="J59" s="73">
        <v>30000</v>
      </c>
      <c r="K59" s="74">
        <v>0</v>
      </c>
      <c r="L59" s="74">
        <f t="shared" si="10"/>
        <v>30000</v>
      </c>
      <c r="M59" s="74"/>
      <c r="N59" s="73">
        <f t="shared" si="23"/>
        <v>30000</v>
      </c>
      <c r="O59" s="73">
        <v>22421</v>
      </c>
      <c r="P59" s="67">
        <v>30000</v>
      </c>
      <c r="Q59" s="87">
        <f t="shared" si="3"/>
        <v>0</v>
      </c>
      <c r="R59" s="88"/>
    </row>
    <row r="60" spans="1:18" ht="14.1" customHeight="1" x14ac:dyDescent="0.2">
      <c r="A60" s="94" t="s">
        <v>779</v>
      </c>
      <c r="B60" s="95"/>
      <c r="C60" s="72" t="s">
        <v>628</v>
      </c>
      <c r="D60" s="102">
        <v>1000</v>
      </c>
      <c r="E60" s="71"/>
      <c r="F60" s="74">
        <f t="shared" si="22"/>
        <v>1000</v>
      </c>
      <c r="G60" s="74"/>
      <c r="H60" s="74">
        <f t="shared" si="20"/>
        <v>1000</v>
      </c>
      <c r="I60" s="71">
        <v>404</v>
      </c>
      <c r="J60" s="73">
        <v>500</v>
      </c>
      <c r="K60" s="74">
        <v>0</v>
      </c>
      <c r="L60" s="74">
        <f t="shared" si="10"/>
        <v>500</v>
      </c>
      <c r="M60" s="74"/>
      <c r="N60" s="73">
        <f t="shared" si="23"/>
        <v>500</v>
      </c>
      <c r="O60" s="73">
        <v>492</v>
      </c>
      <c r="P60" s="67">
        <v>500</v>
      </c>
      <c r="Q60" s="87">
        <f t="shared" si="3"/>
        <v>0</v>
      </c>
      <c r="R60" s="88"/>
    </row>
    <row r="61" spans="1:18" ht="14.1" customHeight="1" x14ac:dyDescent="0.2">
      <c r="A61" s="94" t="s">
        <v>781</v>
      </c>
      <c r="B61" s="95"/>
      <c r="C61" s="72" t="s">
        <v>632</v>
      </c>
      <c r="D61" s="102">
        <v>0</v>
      </c>
      <c r="E61" s="71"/>
      <c r="F61" s="74">
        <f t="shared" si="22"/>
        <v>0</v>
      </c>
      <c r="G61" s="74"/>
      <c r="H61" s="74">
        <f t="shared" si="20"/>
        <v>0</v>
      </c>
      <c r="I61" s="71">
        <v>4550</v>
      </c>
      <c r="J61" s="73">
        <v>5000</v>
      </c>
      <c r="K61" s="74">
        <v>0</v>
      </c>
      <c r="L61" s="74">
        <f t="shared" si="10"/>
        <v>5000</v>
      </c>
      <c r="M61" s="74"/>
      <c r="N61" s="73">
        <f t="shared" si="23"/>
        <v>5000</v>
      </c>
      <c r="O61" s="73">
        <v>4225</v>
      </c>
      <c r="P61" s="67">
        <v>5000</v>
      </c>
      <c r="Q61" s="87">
        <f t="shared" si="3"/>
        <v>0</v>
      </c>
      <c r="R61" s="88"/>
    </row>
    <row r="62" spans="1:18" ht="14.1" customHeight="1" x14ac:dyDescent="0.2">
      <c r="A62" s="94" t="s">
        <v>780</v>
      </c>
      <c r="B62" s="95"/>
      <c r="C62" s="72" t="s">
        <v>629</v>
      </c>
      <c r="D62" s="102">
        <v>23000</v>
      </c>
      <c r="E62" s="71"/>
      <c r="F62" s="74">
        <f>+E62+D62</f>
        <v>23000</v>
      </c>
      <c r="G62" s="74"/>
      <c r="H62" s="74">
        <f>+G62+F62</f>
        <v>23000</v>
      </c>
      <c r="I62" s="71">
        <v>18919</v>
      </c>
      <c r="J62" s="73">
        <v>20000</v>
      </c>
      <c r="K62" s="74">
        <v>3000</v>
      </c>
      <c r="L62" s="74">
        <f>+K62+J62</f>
        <v>23000</v>
      </c>
      <c r="M62" s="74"/>
      <c r="N62" s="73">
        <f>+M62+L62</f>
        <v>23000</v>
      </c>
      <c r="O62" s="73">
        <v>15632</v>
      </c>
      <c r="P62" s="67">
        <v>17000</v>
      </c>
      <c r="Q62" s="87">
        <f>(P62-N62)/N62</f>
        <v>-0.2608695652173913</v>
      </c>
      <c r="R62" s="88"/>
    </row>
    <row r="63" spans="1:18" ht="14.1" customHeight="1" x14ac:dyDescent="0.2">
      <c r="A63" s="94" t="s">
        <v>782</v>
      </c>
      <c r="B63" s="95"/>
      <c r="C63" s="72" t="s">
        <v>631</v>
      </c>
      <c r="D63" s="102">
        <v>5700</v>
      </c>
      <c r="E63" s="71"/>
      <c r="F63" s="74">
        <f>+E63+D63</f>
        <v>5700</v>
      </c>
      <c r="G63" s="74"/>
      <c r="H63" s="74">
        <f>+G63+F63</f>
        <v>5700</v>
      </c>
      <c r="I63" s="71">
        <v>2210</v>
      </c>
      <c r="J63" s="73">
        <v>5000</v>
      </c>
      <c r="K63" s="74">
        <v>0</v>
      </c>
      <c r="L63" s="74">
        <f>+K63+J63</f>
        <v>5000</v>
      </c>
      <c r="M63" s="74"/>
      <c r="N63" s="73">
        <f>+M63+L63</f>
        <v>5000</v>
      </c>
      <c r="O63" s="73">
        <v>1607</v>
      </c>
      <c r="P63" s="67">
        <v>2500</v>
      </c>
      <c r="Q63" s="87">
        <f>(P63-N63)/N63</f>
        <v>-0.5</v>
      </c>
      <c r="R63" s="88"/>
    </row>
    <row r="64" spans="1:18" ht="12.75" x14ac:dyDescent="0.2">
      <c r="A64" s="94" t="s">
        <v>783</v>
      </c>
      <c r="B64" s="95"/>
      <c r="C64" s="72" t="s">
        <v>633</v>
      </c>
      <c r="D64" s="102">
        <v>0</v>
      </c>
      <c r="E64" s="71"/>
      <c r="F64" s="74">
        <f t="shared" si="22"/>
        <v>0</v>
      </c>
      <c r="G64" s="74"/>
      <c r="H64" s="74">
        <f t="shared" si="20"/>
        <v>0</v>
      </c>
      <c r="I64" s="71">
        <v>0</v>
      </c>
      <c r="J64" s="73">
        <v>0</v>
      </c>
      <c r="K64" s="74">
        <v>0</v>
      </c>
      <c r="L64" s="74">
        <f t="shared" si="10"/>
        <v>0</v>
      </c>
      <c r="M64" s="74"/>
      <c r="N64" s="73">
        <f t="shared" si="23"/>
        <v>0</v>
      </c>
      <c r="O64" s="73">
        <v>12535</v>
      </c>
      <c r="P64" s="67">
        <v>23000</v>
      </c>
      <c r="Q64" s="87" t="e">
        <f t="shared" si="3"/>
        <v>#DIV/0!</v>
      </c>
      <c r="R64" s="88"/>
    </row>
    <row r="65" spans="1:23" ht="12.75" hidden="1" x14ac:dyDescent="0.2">
      <c r="A65" s="94"/>
      <c r="B65" s="95"/>
      <c r="C65" s="72" t="s">
        <v>46</v>
      </c>
      <c r="D65" s="102">
        <v>0</v>
      </c>
      <c r="E65" s="71"/>
      <c r="F65" s="74">
        <f t="shared" si="22"/>
        <v>0</v>
      </c>
      <c r="G65" s="74"/>
      <c r="H65" s="74">
        <f t="shared" si="20"/>
        <v>0</v>
      </c>
      <c r="I65" s="71">
        <v>916</v>
      </c>
      <c r="J65" s="73">
        <v>0</v>
      </c>
      <c r="K65" s="74">
        <v>0</v>
      </c>
      <c r="L65" s="74">
        <f t="shared" si="10"/>
        <v>0</v>
      </c>
      <c r="M65" s="74"/>
      <c r="N65" s="73">
        <f t="shared" si="23"/>
        <v>0</v>
      </c>
      <c r="O65" s="73"/>
      <c r="P65" s="67"/>
      <c r="Q65" s="87" t="e">
        <f t="shared" si="3"/>
        <v>#DIV/0!</v>
      </c>
      <c r="R65" s="88"/>
    </row>
    <row r="66" spans="1:23" ht="12.75" hidden="1" x14ac:dyDescent="0.2">
      <c r="A66" s="94"/>
      <c r="B66" s="95"/>
      <c r="C66" s="72" t="s">
        <v>47</v>
      </c>
      <c r="D66" s="102">
        <v>0</v>
      </c>
      <c r="E66" s="71"/>
      <c r="F66" s="74">
        <f t="shared" si="22"/>
        <v>0</v>
      </c>
      <c r="G66" s="74"/>
      <c r="H66" s="74">
        <f t="shared" si="20"/>
        <v>0</v>
      </c>
      <c r="I66" s="71">
        <v>0</v>
      </c>
      <c r="J66" s="73">
        <v>0</v>
      </c>
      <c r="K66" s="74">
        <v>0</v>
      </c>
      <c r="L66" s="74">
        <f t="shared" si="10"/>
        <v>0</v>
      </c>
      <c r="M66" s="74"/>
      <c r="N66" s="73">
        <f t="shared" si="23"/>
        <v>0</v>
      </c>
      <c r="O66" s="73"/>
      <c r="P66" s="67"/>
      <c r="Q66" s="87" t="e">
        <f t="shared" si="3"/>
        <v>#DIV/0!</v>
      </c>
      <c r="R66" s="88"/>
    </row>
    <row r="67" spans="1:23" ht="51" x14ac:dyDescent="0.2">
      <c r="A67" s="94"/>
      <c r="B67" s="95"/>
      <c r="C67" s="72" t="s">
        <v>1553</v>
      </c>
      <c r="D67" s="102">
        <v>0</v>
      </c>
      <c r="E67" s="71"/>
      <c r="F67" s="74">
        <f t="shared" si="22"/>
        <v>0</v>
      </c>
      <c r="G67" s="74"/>
      <c r="H67" s="74">
        <f t="shared" si="20"/>
        <v>0</v>
      </c>
      <c r="I67" s="71">
        <v>0</v>
      </c>
      <c r="J67" s="73">
        <v>0</v>
      </c>
      <c r="K67" s="74">
        <v>0</v>
      </c>
      <c r="L67" s="74">
        <f t="shared" si="10"/>
        <v>0</v>
      </c>
      <c r="M67" s="74"/>
      <c r="N67" s="73">
        <f t="shared" si="23"/>
        <v>0</v>
      </c>
      <c r="O67" s="73">
        <v>8350</v>
      </c>
      <c r="P67" s="67">
        <v>13500</v>
      </c>
      <c r="Q67" s="87" t="e">
        <f t="shared" si="3"/>
        <v>#DIV/0!</v>
      </c>
      <c r="R67" s="88" t="s">
        <v>1554</v>
      </c>
      <c r="S67" s="108" t="s">
        <v>1403</v>
      </c>
    </row>
    <row r="68" spans="1:23" ht="14.1" customHeight="1" x14ac:dyDescent="0.2">
      <c r="A68" s="94" t="s">
        <v>784</v>
      </c>
      <c r="B68" s="95"/>
      <c r="C68" s="72" t="s">
        <v>634</v>
      </c>
      <c r="D68" s="102">
        <v>0</v>
      </c>
      <c r="E68" s="71"/>
      <c r="F68" s="74">
        <f t="shared" si="22"/>
        <v>0</v>
      </c>
      <c r="G68" s="74">
        <v>41500</v>
      </c>
      <c r="H68" s="74">
        <f t="shared" si="20"/>
        <v>41500</v>
      </c>
      <c r="I68" s="71">
        <v>18645</v>
      </c>
      <c r="J68" s="73">
        <v>12000</v>
      </c>
      <c r="K68" s="74">
        <v>10000</v>
      </c>
      <c r="L68" s="74">
        <f t="shared" si="10"/>
        <v>22000</v>
      </c>
      <c r="M68" s="74"/>
      <c r="N68" s="73">
        <f t="shared" si="23"/>
        <v>22000</v>
      </c>
      <c r="O68" s="73">
        <v>21483</v>
      </c>
      <c r="P68" s="67">
        <v>0</v>
      </c>
      <c r="Q68" s="87">
        <f t="shared" si="3"/>
        <v>-1</v>
      </c>
      <c r="R68" s="88"/>
    </row>
    <row r="69" spans="1:23" s="53" customFormat="1" ht="14.1" customHeight="1" x14ac:dyDescent="0.2">
      <c r="A69" s="94" t="s">
        <v>48</v>
      </c>
      <c r="B69" s="95">
        <v>3225</v>
      </c>
      <c r="C69" s="96" t="s">
        <v>1591</v>
      </c>
      <c r="D69" s="43">
        <v>9000</v>
      </c>
      <c r="E69" s="97"/>
      <c r="F69" s="98">
        <f t="shared" si="22"/>
        <v>9000</v>
      </c>
      <c r="G69" s="98"/>
      <c r="H69" s="98">
        <f t="shared" si="20"/>
        <v>9000</v>
      </c>
      <c r="I69" s="97">
        <v>13179</v>
      </c>
      <c r="J69" s="99">
        <v>9000</v>
      </c>
      <c r="K69" s="74">
        <v>0</v>
      </c>
      <c r="L69" s="98">
        <f>+K69+J69</f>
        <v>9000</v>
      </c>
      <c r="M69" s="109">
        <v>4000</v>
      </c>
      <c r="N69" s="99">
        <f>+M69+L69</f>
        <v>13000</v>
      </c>
      <c r="O69" s="99">
        <v>15901</v>
      </c>
      <c r="P69" s="100">
        <v>25000</v>
      </c>
      <c r="Q69" s="87">
        <f t="shared" si="3"/>
        <v>0.92307692307692313</v>
      </c>
      <c r="R69" s="88"/>
      <c r="S69" s="56"/>
      <c r="T69" s="56"/>
      <c r="U69" s="56"/>
      <c r="V69" s="56"/>
    </row>
    <row r="70" spans="1:23" s="53" customFormat="1" ht="14.1" customHeight="1" x14ac:dyDescent="0.2">
      <c r="A70" s="94" t="s">
        <v>49</v>
      </c>
      <c r="B70" s="95">
        <v>3229</v>
      </c>
      <c r="C70" s="96" t="s">
        <v>1592</v>
      </c>
      <c r="D70" s="43">
        <v>1500</v>
      </c>
      <c r="E70" s="97"/>
      <c r="F70" s="98">
        <f t="shared" si="22"/>
        <v>1500</v>
      </c>
      <c r="G70" s="98"/>
      <c r="H70" s="98">
        <f t="shared" si="20"/>
        <v>1500</v>
      </c>
      <c r="I70" s="97">
        <v>1315</v>
      </c>
      <c r="J70" s="99">
        <v>1500</v>
      </c>
      <c r="K70" s="74">
        <v>0</v>
      </c>
      <c r="L70" s="98">
        <f t="shared" si="10"/>
        <v>1500</v>
      </c>
      <c r="M70" s="109">
        <v>1500</v>
      </c>
      <c r="N70" s="99">
        <f t="shared" si="23"/>
        <v>3000</v>
      </c>
      <c r="O70" s="99">
        <v>2553</v>
      </c>
      <c r="P70" s="100">
        <v>5000</v>
      </c>
      <c r="Q70" s="87">
        <f t="shared" ref="Q70:Q104" si="24">(P70-N70)/N70</f>
        <v>0.66666666666666663</v>
      </c>
      <c r="R70" s="88"/>
      <c r="S70" s="56"/>
      <c r="T70" s="56"/>
      <c r="U70" s="56"/>
      <c r="V70" s="56"/>
    </row>
    <row r="71" spans="1:23" s="53" customFormat="1" ht="13.5" hidden="1" customHeight="1" x14ac:dyDescent="0.2">
      <c r="A71" s="94" t="s">
        <v>50</v>
      </c>
      <c r="B71" s="95">
        <v>3230</v>
      </c>
      <c r="C71" s="96" t="s">
        <v>51</v>
      </c>
      <c r="D71" s="43">
        <v>0</v>
      </c>
      <c r="E71" s="97"/>
      <c r="F71" s="98">
        <f t="shared" si="22"/>
        <v>0</v>
      </c>
      <c r="G71" s="98"/>
      <c r="H71" s="98">
        <f t="shared" si="20"/>
        <v>0</v>
      </c>
      <c r="I71" s="97">
        <v>0</v>
      </c>
      <c r="J71" s="99">
        <v>0</v>
      </c>
      <c r="K71" s="74">
        <v>0</v>
      </c>
      <c r="L71" s="98">
        <f t="shared" si="10"/>
        <v>0</v>
      </c>
      <c r="M71" s="109"/>
      <c r="N71" s="99">
        <f t="shared" si="23"/>
        <v>0</v>
      </c>
      <c r="O71" s="99">
        <v>0</v>
      </c>
      <c r="P71" s="100">
        <f>+N71+M71</f>
        <v>0</v>
      </c>
      <c r="Q71" s="87" t="e">
        <f t="shared" si="24"/>
        <v>#DIV/0!</v>
      </c>
      <c r="R71" s="88"/>
      <c r="S71" s="56"/>
      <c r="T71" s="56"/>
      <c r="U71" s="56"/>
      <c r="V71" s="56"/>
    </row>
    <row r="72" spans="1:23" s="53" customFormat="1" ht="14.1" customHeight="1" x14ac:dyDescent="0.2">
      <c r="A72" s="94" t="s">
        <v>52</v>
      </c>
      <c r="B72" s="95">
        <v>3233</v>
      </c>
      <c r="C72" s="96" t="s">
        <v>1593</v>
      </c>
      <c r="D72" s="43">
        <v>20000</v>
      </c>
      <c r="E72" s="97"/>
      <c r="F72" s="98">
        <f t="shared" si="22"/>
        <v>20000</v>
      </c>
      <c r="G72" s="98"/>
      <c r="H72" s="98">
        <f t="shared" si="20"/>
        <v>20000</v>
      </c>
      <c r="I72" s="97">
        <v>16666</v>
      </c>
      <c r="J72" s="99">
        <v>10000</v>
      </c>
      <c r="K72" s="74">
        <v>0</v>
      </c>
      <c r="L72" s="98">
        <f t="shared" si="10"/>
        <v>10000</v>
      </c>
      <c r="M72" s="109">
        <v>5000</v>
      </c>
      <c r="N72" s="99">
        <f t="shared" si="23"/>
        <v>15000</v>
      </c>
      <c r="O72" s="99">
        <f>10487+35</f>
        <v>10522</v>
      </c>
      <c r="P72" s="100">
        <v>20000</v>
      </c>
      <c r="Q72" s="87">
        <f t="shared" si="24"/>
        <v>0.33333333333333331</v>
      </c>
      <c r="R72" s="88"/>
      <c r="S72" s="56"/>
      <c r="T72" s="56"/>
      <c r="U72" s="56"/>
      <c r="V72" s="56"/>
    </row>
    <row r="73" spans="1:23" s="53" customFormat="1" ht="14.1" customHeight="1" x14ac:dyDescent="0.2">
      <c r="A73" s="94" t="s">
        <v>53</v>
      </c>
      <c r="B73" s="95">
        <v>3237</v>
      </c>
      <c r="C73" s="96" t="s">
        <v>1594</v>
      </c>
      <c r="D73" s="43">
        <v>2000</v>
      </c>
      <c r="E73" s="97">
        <v>25000</v>
      </c>
      <c r="F73" s="98">
        <f t="shared" si="22"/>
        <v>27000</v>
      </c>
      <c r="G73" s="98"/>
      <c r="H73" s="98">
        <f t="shared" si="20"/>
        <v>27000</v>
      </c>
      <c r="I73" s="97">
        <v>20958</v>
      </c>
      <c r="J73" s="99">
        <v>25000</v>
      </c>
      <c r="K73" s="74">
        <v>0</v>
      </c>
      <c r="L73" s="98">
        <f t="shared" si="10"/>
        <v>25000</v>
      </c>
      <c r="M73" s="109">
        <v>-22000</v>
      </c>
      <c r="N73" s="99">
        <f t="shared" si="23"/>
        <v>3000</v>
      </c>
      <c r="O73" s="99">
        <v>2162</v>
      </c>
      <c r="P73" s="100">
        <v>3000</v>
      </c>
      <c r="Q73" s="87">
        <f t="shared" si="24"/>
        <v>0</v>
      </c>
      <c r="R73" s="107"/>
      <c r="S73" s="56"/>
      <c r="T73" s="56"/>
      <c r="U73" s="56"/>
      <c r="V73" s="56"/>
    </row>
    <row r="74" spans="1:23" s="53" customFormat="1" ht="14.1" customHeight="1" x14ac:dyDescent="0.2">
      <c r="A74" s="94" t="s">
        <v>54</v>
      </c>
      <c r="B74" s="95">
        <v>3238</v>
      </c>
      <c r="C74" s="96" t="s">
        <v>1595</v>
      </c>
      <c r="D74" s="43">
        <v>20000</v>
      </c>
      <c r="E74" s="97">
        <v>-20000</v>
      </c>
      <c r="F74" s="98">
        <f t="shared" si="22"/>
        <v>0</v>
      </c>
      <c r="G74" s="98"/>
      <c r="H74" s="98">
        <f t="shared" si="20"/>
        <v>0</v>
      </c>
      <c r="I74" s="97">
        <v>1881</v>
      </c>
      <c r="J74" s="99">
        <v>0</v>
      </c>
      <c r="K74" s="74">
        <v>0</v>
      </c>
      <c r="L74" s="98">
        <f t="shared" si="10"/>
        <v>0</v>
      </c>
      <c r="M74" s="98"/>
      <c r="N74" s="99">
        <f t="shared" si="23"/>
        <v>0</v>
      </c>
      <c r="O74" s="99">
        <v>1405</v>
      </c>
      <c r="P74" s="100">
        <v>500</v>
      </c>
      <c r="Q74" s="87" t="e">
        <f t="shared" si="24"/>
        <v>#DIV/0!</v>
      </c>
      <c r="R74" s="88"/>
      <c r="S74" s="56"/>
      <c r="T74" s="56"/>
      <c r="U74" s="56"/>
      <c r="V74" s="56"/>
    </row>
    <row r="75" spans="1:23" s="53" customFormat="1" ht="14.1" customHeight="1" x14ac:dyDescent="0.2">
      <c r="A75" s="79">
        <v>35</v>
      </c>
      <c r="B75" s="80"/>
      <c r="C75" s="81" t="s">
        <v>55</v>
      </c>
      <c r="D75" s="82">
        <v>6976719</v>
      </c>
      <c r="E75" s="83">
        <f>+E76+E92</f>
        <v>296533</v>
      </c>
      <c r="F75" s="86">
        <f t="shared" si="22"/>
        <v>7273252</v>
      </c>
      <c r="G75" s="86">
        <f t="shared" ref="G75:K75" si="25">+G76+G92+G95</f>
        <v>-5874</v>
      </c>
      <c r="H75" s="86">
        <f t="shared" si="25"/>
        <v>7267378</v>
      </c>
      <c r="I75" s="83">
        <f t="shared" si="25"/>
        <v>6518955</v>
      </c>
      <c r="J75" s="85">
        <f t="shared" si="25"/>
        <v>7101155</v>
      </c>
      <c r="K75" s="86">
        <f t="shared" si="25"/>
        <v>476223</v>
      </c>
      <c r="L75" s="86">
        <f>+L76+L92+L95</f>
        <v>7577378</v>
      </c>
      <c r="M75" s="86">
        <f>+M76+M92+M95</f>
        <v>417774</v>
      </c>
      <c r="N75" s="85">
        <f>+N76+N92+N95</f>
        <v>7995152</v>
      </c>
      <c r="O75" s="85">
        <f>+O76+O92+O95</f>
        <v>7408147</v>
      </c>
      <c r="P75" s="85">
        <f>+P76+P92+P95</f>
        <v>9055209</v>
      </c>
      <c r="Q75" s="87">
        <f t="shared" si="24"/>
        <v>0.13258747300864324</v>
      </c>
      <c r="R75" s="88"/>
      <c r="S75" s="56"/>
      <c r="T75" s="56"/>
      <c r="U75" s="56"/>
      <c r="V75" s="56">
        <f>93600+228892</f>
        <v>322492</v>
      </c>
      <c r="W75" s="56" t="s">
        <v>746</v>
      </c>
    </row>
    <row r="76" spans="1:23" s="53" customFormat="1" ht="14.1" customHeight="1" x14ac:dyDescent="0.2">
      <c r="A76" s="94">
        <v>3500</v>
      </c>
      <c r="B76" s="95">
        <v>350</v>
      </c>
      <c r="C76" s="96" t="s">
        <v>56</v>
      </c>
      <c r="D76" s="99">
        <f t="shared" ref="D76:H76" si="26">SUM(D77:D91)</f>
        <v>76500</v>
      </c>
      <c r="E76" s="99">
        <f t="shared" si="26"/>
        <v>42217</v>
      </c>
      <c r="F76" s="99">
        <f t="shared" si="26"/>
        <v>118717</v>
      </c>
      <c r="G76" s="99">
        <f t="shared" si="26"/>
        <v>-7074</v>
      </c>
      <c r="H76" s="99">
        <f t="shared" si="26"/>
        <v>111643</v>
      </c>
      <c r="I76" s="99">
        <f>SUM(I77:I91)</f>
        <v>97910</v>
      </c>
      <c r="J76" s="99">
        <f>SUM(J77:J91)</f>
        <v>35000</v>
      </c>
      <c r="K76" s="99">
        <f t="shared" ref="K76:L76" si="27">SUM(K77:K91)</f>
        <v>58600</v>
      </c>
      <c r="L76" s="99">
        <f t="shared" si="27"/>
        <v>93600</v>
      </c>
      <c r="M76" s="110">
        <f>SUM(M77:M91)</f>
        <v>296911</v>
      </c>
      <c r="N76" s="99">
        <f>SUM(N77:N91)</f>
        <v>390511</v>
      </c>
      <c r="O76" s="99">
        <f>SUM(O77:O91)</f>
        <v>451802</v>
      </c>
      <c r="P76" s="100">
        <f>SUM(P77:P91)</f>
        <v>143038</v>
      </c>
      <c r="Q76" s="87">
        <f t="shared" si="24"/>
        <v>-0.63371582362596701</v>
      </c>
      <c r="R76" s="111"/>
      <c r="S76" s="56"/>
      <c r="T76" s="56"/>
      <c r="U76" s="56"/>
      <c r="V76" s="56">
        <f>390299+336413</f>
        <v>726712</v>
      </c>
      <c r="W76" s="56" t="s">
        <v>747</v>
      </c>
    </row>
    <row r="77" spans="1:23" s="53" customFormat="1" ht="14.1" customHeight="1" x14ac:dyDescent="0.2">
      <c r="A77" s="89" t="s">
        <v>57</v>
      </c>
      <c r="B77" s="95"/>
      <c r="C77" s="72" t="s">
        <v>638</v>
      </c>
      <c r="D77" s="102">
        <v>0</v>
      </c>
      <c r="E77" s="71">
        <v>7709</v>
      </c>
      <c r="F77" s="74">
        <f>+E77+D77</f>
        <v>7709</v>
      </c>
      <c r="G77" s="74">
        <v>18932</v>
      </c>
      <c r="H77" s="74">
        <f>+G77+F77</f>
        <v>26641</v>
      </c>
      <c r="I77" s="71">
        <v>7709</v>
      </c>
      <c r="J77" s="73"/>
      <c r="K77" s="74"/>
      <c r="L77" s="74">
        <f t="shared" ref="L77:L91" si="28">+K77+J77</f>
        <v>0</v>
      </c>
      <c r="M77" s="74">
        <v>4032</v>
      </c>
      <c r="N77" s="73">
        <f t="shared" ref="N77:N81" si="29">+M77+L77</f>
        <v>4032</v>
      </c>
      <c r="O77" s="73">
        <v>18739</v>
      </c>
      <c r="P77" s="67"/>
      <c r="Q77" s="87">
        <f t="shared" si="24"/>
        <v>-1</v>
      </c>
      <c r="R77" s="88"/>
      <c r="S77" s="56" t="s">
        <v>745</v>
      </c>
      <c r="T77" s="56"/>
      <c r="U77" s="56"/>
      <c r="V77" s="56"/>
    </row>
    <row r="78" spans="1:23" s="53" customFormat="1" ht="14.1" customHeight="1" x14ac:dyDescent="0.2">
      <c r="A78" s="89" t="s">
        <v>785</v>
      </c>
      <c r="B78" s="95"/>
      <c r="C78" s="72" t="s">
        <v>786</v>
      </c>
      <c r="D78" s="102">
        <v>0</v>
      </c>
      <c r="E78" s="71"/>
      <c r="F78" s="74">
        <f>+E78+D78</f>
        <v>0</v>
      </c>
      <c r="G78" s="74"/>
      <c r="H78" s="74">
        <f t="shared" ref="H78:H91" si="30">+G78+F78</f>
        <v>0</v>
      </c>
      <c r="I78" s="71">
        <v>0</v>
      </c>
      <c r="J78" s="73"/>
      <c r="K78" s="74"/>
      <c r="L78" s="74">
        <f t="shared" si="28"/>
        <v>0</v>
      </c>
      <c r="M78" s="74"/>
      <c r="N78" s="73">
        <f t="shared" si="29"/>
        <v>0</v>
      </c>
      <c r="O78" s="73">
        <v>450</v>
      </c>
      <c r="P78" s="67"/>
      <c r="Q78" s="87" t="e">
        <f t="shared" si="24"/>
        <v>#DIV/0!</v>
      </c>
      <c r="R78" s="88"/>
      <c r="S78" s="56"/>
      <c r="T78" s="56"/>
      <c r="U78" s="56"/>
      <c r="V78" s="56"/>
    </row>
    <row r="79" spans="1:23" s="53" customFormat="1" ht="14.1" customHeight="1" x14ac:dyDescent="0.2">
      <c r="A79" s="89"/>
      <c r="B79" s="95"/>
      <c r="C79" s="72" t="s">
        <v>58</v>
      </c>
      <c r="D79" s="102">
        <v>0</v>
      </c>
      <c r="E79" s="71">
        <v>4844</v>
      </c>
      <c r="F79" s="74">
        <f>+E79+D79</f>
        <v>4844</v>
      </c>
      <c r="G79" s="74"/>
      <c r="H79" s="74">
        <f t="shared" si="30"/>
        <v>4844</v>
      </c>
      <c r="I79" s="71">
        <v>4844</v>
      </c>
      <c r="J79" s="73"/>
      <c r="K79" s="74"/>
      <c r="L79" s="74">
        <f t="shared" si="28"/>
        <v>0</v>
      </c>
      <c r="M79" s="74"/>
      <c r="N79" s="73">
        <f t="shared" si="29"/>
        <v>0</v>
      </c>
      <c r="O79" s="73"/>
      <c r="P79" s="67"/>
      <c r="Q79" s="87" t="e">
        <f t="shared" si="24"/>
        <v>#DIV/0!</v>
      </c>
      <c r="R79" s="88"/>
      <c r="S79" s="56"/>
      <c r="T79" s="56"/>
      <c r="U79" s="56"/>
      <c r="V79" s="56"/>
    </row>
    <row r="80" spans="1:23" ht="14.1" customHeight="1" x14ac:dyDescent="0.2">
      <c r="A80" s="89" t="s">
        <v>59</v>
      </c>
      <c r="B80" s="90"/>
      <c r="C80" s="72" t="s">
        <v>645</v>
      </c>
      <c r="D80" s="102">
        <v>0</v>
      </c>
      <c r="E80" s="71">
        <v>9955</v>
      </c>
      <c r="F80" s="74">
        <f>+E80+D80</f>
        <v>9955</v>
      </c>
      <c r="G80" s="74"/>
      <c r="H80" s="74">
        <f t="shared" si="30"/>
        <v>9955</v>
      </c>
      <c r="I80" s="71">
        <v>9955</v>
      </c>
      <c r="J80" s="73"/>
      <c r="K80" s="74"/>
      <c r="L80" s="74">
        <f t="shared" si="28"/>
        <v>0</v>
      </c>
      <c r="M80" s="74"/>
      <c r="N80" s="73">
        <f t="shared" si="29"/>
        <v>0</v>
      </c>
      <c r="O80" s="73">
        <v>4652</v>
      </c>
      <c r="P80" s="67"/>
      <c r="Q80" s="87" t="e">
        <f t="shared" si="24"/>
        <v>#DIV/0!</v>
      </c>
      <c r="R80" s="88"/>
      <c r="S80" s="56" t="s">
        <v>743</v>
      </c>
    </row>
    <row r="81" spans="1:22" ht="14.1" customHeight="1" x14ac:dyDescent="0.2">
      <c r="A81" s="89" t="s">
        <v>639</v>
      </c>
      <c r="B81" s="90"/>
      <c r="C81" s="72" t="s">
        <v>640</v>
      </c>
      <c r="D81" s="102"/>
      <c r="E81" s="71"/>
      <c r="F81" s="74"/>
      <c r="G81" s="74"/>
      <c r="H81" s="74"/>
      <c r="I81" s="71"/>
      <c r="J81" s="73"/>
      <c r="K81" s="74"/>
      <c r="L81" s="74"/>
      <c r="M81" s="74">
        <v>212</v>
      </c>
      <c r="N81" s="73">
        <f t="shared" si="29"/>
        <v>212</v>
      </c>
      <c r="O81" s="73">
        <v>212</v>
      </c>
      <c r="P81" s="67"/>
      <c r="Q81" s="87">
        <f t="shared" si="24"/>
        <v>-1</v>
      </c>
      <c r="R81" s="88"/>
      <c r="S81" s="56" t="s">
        <v>744</v>
      </c>
    </row>
    <row r="82" spans="1:22" ht="14.1" customHeight="1" x14ac:dyDescent="0.2">
      <c r="A82" s="89" t="s">
        <v>60</v>
      </c>
      <c r="B82" s="90"/>
      <c r="C82" s="72" t="s">
        <v>61</v>
      </c>
      <c r="D82" s="102">
        <v>0</v>
      </c>
      <c r="E82" s="71">
        <v>12344</v>
      </c>
      <c r="F82" s="74">
        <f t="shared" ref="F82:F104" si="31">+E82+D82</f>
        <v>12344</v>
      </c>
      <c r="G82" s="74"/>
      <c r="H82" s="74">
        <f t="shared" si="30"/>
        <v>12344</v>
      </c>
      <c r="I82" s="71">
        <v>13835</v>
      </c>
      <c r="J82" s="73"/>
      <c r="K82" s="74"/>
      <c r="L82" s="74">
        <f t="shared" si="28"/>
        <v>0</v>
      </c>
      <c r="M82" s="74">
        <v>7860</v>
      </c>
      <c r="N82" s="73">
        <f t="shared" ref="N82:N91" si="32">+M82+L82</f>
        <v>7860</v>
      </c>
      <c r="O82" s="73">
        <v>9935</v>
      </c>
      <c r="P82" s="67"/>
      <c r="Q82" s="87">
        <f t="shared" si="24"/>
        <v>-1</v>
      </c>
      <c r="R82" s="88"/>
      <c r="S82" s="56" t="s">
        <v>742</v>
      </c>
    </row>
    <row r="83" spans="1:22" ht="14.1" customHeight="1" x14ac:dyDescent="0.2">
      <c r="A83" s="89" t="s">
        <v>62</v>
      </c>
      <c r="B83" s="90"/>
      <c r="C83" s="72" t="s">
        <v>63</v>
      </c>
      <c r="D83" s="102">
        <v>0</v>
      </c>
      <c r="E83" s="71"/>
      <c r="F83" s="74">
        <f t="shared" si="31"/>
        <v>0</v>
      </c>
      <c r="G83" s="74"/>
      <c r="H83" s="74">
        <f t="shared" si="30"/>
        <v>0</v>
      </c>
      <c r="I83" s="71"/>
      <c r="J83" s="73"/>
      <c r="K83" s="74">
        <v>58600</v>
      </c>
      <c r="L83" s="74">
        <f t="shared" si="28"/>
        <v>58600</v>
      </c>
      <c r="M83" s="74">
        <v>220352</v>
      </c>
      <c r="N83" s="73">
        <f t="shared" si="32"/>
        <v>278952</v>
      </c>
      <c r="O83" s="73">
        <v>279123</v>
      </c>
      <c r="P83" s="67"/>
      <c r="Q83" s="87">
        <f t="shared" si="24"/>
        <v>-1</v>
      </c>
      <c r="R83" s="88"/>
      <c r="T83" s="108"/>
      <c r="U83" s="108"/>
    </row>
    <row r="84" spans="1:22" ht="14.1" customHeight="1" x14ac:dyDescent="0.2">
      <c r="A84" s="89" t="s">
        <v>62</v>
      </c>
      <c r="B84" s="90"/>
      <c r="C84" s="72" t="s">
        <v>1217</v>
      </c>
      <c r="D84" s="102">
        <v>0</v>
      </c>
      <c r="E84" s="71"/>
      <c r="F84" s="74">
        <f t="shared" si="31"/>
        <v>0</v>
      </c>
      <c r="G84" s="74"/>
      <c r="H84" s="74">
        <f t="shared" si="30"/>
        <v>0</v>
      </c>
      <c r="I84" s="71"/>
      <c r="J84" s="73"/>
      <c r="K84" s="74"/>
      <c r="L84" s="74">
        <f t="shared" si="28"/>
        <v>0</v>
      </c>
      <c r="M84" s="74"/>
      <c r="N84" s="73">
        <f t="shared" si="32"/>
        <v>0</v>
      </c>
      <c r="O84" s="73"/>
      <c r="P84" s="67">
        <v>64438</v>
      </c>
      <c r="Q84" s="87" t="e">
        <f t="shared" si="24"/>
        <v>#DIV/0!</v>
      </c>
      <c r="R84" s="88"/>
      <c r="S84" s="56" t="s">
        <v>1222</v>
      </c>
    </row>
    <row r="85" spans="1:22" ht="14.1" customHeight="1" x14ac:dyDescent="0.2">
      <c r="A85" s="89"/>
      <c r="B85" s="90"/>
      <c r="C85" s="72" t="s">
        <v>64</v>
      </c>
      <c r="D85" s="102">
        <v>0</v>
      </c>
      <c r="E85" s="71">
        <v>5695</v>
      </c>
      <c r="F85" s="74">
        <f t="shared" si="31"/>
        <v>5695</v>
      </c>
      <c r="G85" s="74"/>
      <c r="H85" s="74">
        <f t="shared" si="30"/>
        <v>5695</v>
      </c>
      <c r="I85" s="71">
        <v>5695</v>
      </c>
      <c r="J85" s="73"/>
      <c r="K85" s="74"/>
      <c r="L85" s="74">
        <f t="shared" si="28"/>
        <v>0</v>
      </c>
      <c r="M85" s="74"/>
      <c r="N85" s="73">
        <f t="shared" si="32"/>
        <v>0</v>
      </c>
      <c r="O85" s="73">
        <v>4880</v>
      </c>
      <c r="P85" s="67"/>
      <c r="Q85" s="87" t="e">
        <f t="shared" si="24"/>
        <v>#DIV/0!</v>
      </c>
      <c r="R85" s="88"/>
    </row>
    <row r="86" spans="1:22" ht="14.1" customHeight="1" x14ac:dyDescent="0.2">
      <c r="A86" s="89" t="s">
        <v>641</v>
      </c>
      <c r="B86" s="90"/>
      <c r="C86" s="72" t="s">
        <v>65</v>
      </c>
      <c r="D86" s="102">
        <v>41500</v>
      </c>
      <c r="E86" s="71"/>
      <c r="F86" s="74">
        <f t="shared" si="31"/>
        <v>41500</v>
      </c>
      <c r="G86" s="74">
        <v>-41500</v>
      </c>
      <c r="H86" s="74">
        <f t="shared" si="30"/>
        <v>0</v>
      </c>
      <c r="I86" s="71"/>
      <c r="J86" s="73"/>
      <c r="K86" s="74"/>
      <c r="L86" s="74">
        <f t="shared" si="28"/>
        <v>0</v>
      </c>
      <c r="M86" s="74">
        <v>41283</v>
      </c>
      <c r="N86" s="73">
        <f t="shared" si="32"/>
        <v>41283</v>
      </c>
      <c r="O86" s="73">
        <v>73967</v>
      </c>
      <c r="P86" s="67"/>
      <c r="Q86" s="87">
        <f t="shared" si="24"/>
        <v>-1</v>
      </c>
      <c r="R86" s="88"/>
    </row>
    <row r="87" spans="1:22" ht="14.1" customHeight="1" x14ac:dyDescent="0.2">
      <c r="A87" s="89" t="s">
        <v>66</v>
      </c>
      <c r="B87" s="90"/>
      <c r="C87" s="72" t="s">
        <v>642</v>
      </c>
      <c r="D87" s="102">
        <v>0</v>
      </c>
      <c r="E87" s="71"/>
      <c r="F87" s="74">
        <f t="shared" si="31"/>
        <v>0</v>
      </c>
      <c r="G87" s="74"/>
      <c r="H87" s="74">
        <f t="shared" si="30"/>
        <v>0</v>
      </c>
      <c r="I87" s="71"/>
      <c r="J87" s="73"/>
      <c r="K87" s="74"/>
      <c r="L87" s="74">
        <f t="shared" si="28"/>
        <v>0</v>
      </c>
      <c r="M87" s="74">
        <v>1240</v>
      </c>
      <c r="N87" s="73">
        <f t="shared" si="32"/>
        <v>1240</v>
      </c>
      <c r="O87" s="73">
        <v>1240</v>
      </c>
      <c r="P87" s="67"/>
      <c r="Q87" s="87">
        <f t="shared" si="24"/>
        <v>-1</v>
      </c>
      <c r="R87" s="88"/>
      <c r="S87" s="56" t="s">
        <v>1581</v>
      </c>
    </row>
    <row r="88" spans="1:22" ht="14.1" customHeight="1" x14ac:dyDescent="0.2">
      <c r="A88" s="89" t="s">
        <v>67</v>
      </c>
      <c r="B88" s="90"/>
      <c r="C88" s="72" t="s">
        <v>643</v>
      </c>
      <c r="D88" s="102">
        <v>35000</v>
      </c>
      <c r="E88" s="71"/>
      <c r="F88" s="74">
        <f t="shared" si="31"/>
        <v>35000</v>
      </c>
      <c r="G88" s="74"/>
      <c r="H88" s="74">
        <f t="shared" si="30"/>
        <v>35000</v>
      </c>
      <c r="I88" s="71">
        <v>54374</v>
      </c>
      <c r="J88" s="73">
        <v>35000</v>
      </c>
      <c r="K88" s="74">
        <v>0</v>
      </c>
      <c r="L88" s="74">
        <f t="shared" si="28"/>
        <v>35000</v>
      </c>
      <c r="M88" s="74"/>
      <c r="N88" s="73">
        <f t="shared" si="32"/>
        <v>35000</v>
      </c>
      <c r="O88" s="73">
        <v>57672</v>
      </c>
      <c r="P88" s="67">
        <v>56600</v>
      </c>
      <c r="Q88" s="87">
        <f t="shared" si="24"/>
        <v>0.6171428571428571</v>
      </c>
      <c r="R88" s="88"/>
      <c r="S88" s="56" t="s">
        <v>800</v>
      </c>
    </row>
    <row r="89" spans="1:22" ht="14.1" customHeight="1" x14ac:dyDescent="0.2">
      <c r="A89" s="89" t="s">
        <v>68</v>
      </c>
      <c r="B89" s="90"/>
      <c r="C89" s="72" t="s">
        <v>1221</v>
      </c>
      <c r="D89" s="102"/>
      <c r="E89" s="71">
        <v>1670</v>
      </c>
      <c r="F89" s="74">
        <f t="shared" si="31"/>
        <v>1670</v>
      </c>
      <c r="G89" s="74">
        <v>15494</v>
      </c>
      <c r="H89" s="74">
        <f t="shared" si="30"/>
        <v>17164</v>
      </c>
      <c r="I89" s="71">
        <v>1498</v>
      </c>
      <c r="J89" s="73"/>
      <c r="K89" s="74"/>
      <c r="L89" s="74">
        <f t="shared" si="28"/>
        <v>0</v>
      </c>
      <c r="M89" s="74"/>
      <c r="N89" s="73">
        <f t="shared" si="32"/>
        <v>0</v>
      </c>
      <c r="O89" s="73"/>
      <c r="P89" s="67">
        <v>22000</v>
      </c>
      <c r="Q89" s="87" t="e">
        <f t="shared" si="24"/>
        <v>#DIV/0!</v>
      </c>
      <c r="R89" s="88"/>
      <c r="S89" s="56" t="s">
        <v>1219</v>
      </c>
    </row>
    <row r="90" spans="1:22" ht="14.1" customHeight="1" x14ac:dyDescent="0.2">
      <c r="A90" s="89" t="s">
        <v>69</v>
      </c>
      <c r="B90" s="90"/>
      <c r="C90" s="72" t="s">
        <v>70</v>
      </c>
      <c r="D90" s="102">
        <v>0</v>
      </c>
      <c r="E90" s="112"/>
      <c r="F90" s="74">
        <f t="shared" si="31"/>
        <v>0</v>
      </c>
      <c r="G90" s="74"/>
      <c r="H90" s="74">
        <f t="shared" si="30"/>
        <v>0</v>
      </c>
      <c r="I90" s="71"/>
      <c r="J90" s="73"/>
      <c r="K90" s="74"/>
      <c r="L90" s="74">
        <f t="shared" si="28"/>
        <v>0</v>
      </c>
      <c r="M90" s="74">
        <v>21000</v>
      </c>
      <c r="N90" s="73">
        <f t="shared" si="32"/>
        <v>21000</v>
      </c>
      <c r="O90" s="73"/>
      <c r="P90" s="67"/>
      <c r="Q90" s="87">
        <f t="shared" si="24"/>
        <v>-1</v>
      </c>
      <c r="R90" s="88"/>
    </row>
    <row r="91" spans="1:22" ht="14.1" customHeight="1" x14ac:dyDescent="0.2">
      <c r="A91" s="89" t="s">
        <v>71</v>
      </c>
      <c r="B91" s="90"/>
      <c r="C91" s="56" t="s">
        <v>72</v>
      </c>
      <c r="D91" s="102">
        <v>0</v>
      </c>
      <c r="E91" s="71"/>
      <c r="F91" s="74">
        <f t="shared" si="31"/>
        <v>0</v>
      </c>
      <c r="G91" s="74"/>
      <c r="H91" s="74">
        <f t="shared" si="30"/>
        <v>0</v>
      </c>
      <c r="I91" s="71"/>
      <c r="J91" s="73"/>
      <c r="K91" s="74"/>
      <c r="L91" s="74">
        <f t="shared" si="28"/>
        <v>0</v>
      </c>
      <c r="M91" s="74">
        <v>932</v>
      </c>
      <c r="N91" s="73">
        <f t="shared" si="32"/>
        <v>932</v>
      </c>
      <c r="O91" s="73">
        <v>932</v>
      </c>
      <c r="P91" s="67"/>
      <c r="Q91" s="87">
        <f t="shared" si="24"/>
        <v>-1</v>
      </c>
      <c r="R91" s="88"/>
      <c r="S91" s="57"/>
    </row>
    <row r="92" spans="1:22" s="53" customFormat="1" ht="14.1" customHeight="1" x14ac:dyDescent="0.2">
      <c r="A92" s="79" t="s">
        <v>73</v>
      </c>
      <c r="B92" s="113"/>
      <c r="C92" s="81" t="s">
        <v>644</v>
      </c>
      <c r="D92" s="82">
        <v>6676219</v>
      </c>
      <c r="E92" s="83">
        <f>+E93+E94+E95</f>
        <v>254316</v>
      </c>
      <c r="F92" s="86">
        <f t="shared" si="31"/>
        <v>6930535</v>
      </c>
      <c r="G92" s="86">
        <v>0</v>
      </c>
      <c r="H92" s="86">
        <f>SUM(H93:H94)</f>
        <v>6842155</v>
      </c>
      <c r="I92" s="86">
        <f t="shared" ref="I92:M92" si="33">SUM(I93:I94)</f>
        <v>6077781</v>
      </c>
      <c r="J92" s="86">
        <f t="shared" si="33"/>
        <v>6842155</v>
      </c>
      <c r="K92" s="86">
        <f t="shared" si="33"/>
        <v>412731</v>
      </c>
      <c r="L92" s="86">
        <f t="shared" si="33"/>
        <v>7254886</v>
      </c>
      <c r="M92" s="109">
        <f t="shared" si="33"/>
        <v>13342</v>
      </c>
      <c r="N92" s="85">
        <f>SUM(N93:N94)</f>
        <v>7268228</v>
      </c>
      <c r="O92" s="85">
        <f>SUM(O93:O94)</f>
        <v>6583908</v>
      </c>
      <c r="P92" s="85">
        <f>SUM(P93:P94)</f>
        <v>8562171</v>
      </c>
      <c r="Q92" s="87">
        <f t="shared" si="24"/>
        <v>0.17802729908858114</v>
      </c>
      <c r="R92" s="88"/>
      <c r="S92" s="114"/>
      <c r="T92" s="114"/>
      <c r="U92" s="108"/>
      <c r="V92" s="57"/>
    </row>
    <row r="93" spans="1:22" s="53" customFormat="1" ht="14.1" customHeight="1" x14ac:dyDescent="0.2">
      <c r="A93" s="89">
        <v>35200</v>
      </c>
      <c r="B93" s="90">
        <v>35200</v>
      </c>
      <c r="C93" s="72" t="s">
        <v>74</v>
      </c>
      <c r="D93" s="102">
        <v>2342368</v>
      </c>
      <c r="E93" s="71"/>
      <c r="F93" s="74">
        <f t="shared" si="31"/>
        <v>2342368</v>
      </c>
      <c r="G93" s="74"/>
      <c r="H93" s="74">
        <f t="shared" ref="H93:H103" si="34">+G93+F93</f>
        <v>2342368</v>
      </c>
      <c r="I93" s="71">
        <v>1904988</v>
      </c>
      <c r="J93" s="73">
        <v>2342368</v>
      </c>
      <c r="K93" s="74">
        <v>227012</v>
      </c>
      <c r="L93" s="74">
        <f>+K93+J93</f>
        <v>2569380</v>
      </c>
      <c r="M93" s="74">
        <v>1632</v>
      </c>
      <c r="N93" s="73">
        <f t="shared" ref="N93" si="35">+M93+L93</f>
        <v>2571012</v>
      </c>
      <c r="O93" s="73">
        <v>2228210</v>
      </c>
      <c r="P93" s="67">
        <f>2571012+200000</f>
        <v>2771012</v>
      </c>
      <c r="Q93" s="87">
        <f t="shared" si="24"/>
        <v>7.7790379819308503E-2</v>
      </c>
      <c r="R93" s="88"/>
      <c r="S93" s="57" t="s">
        <v>646</v>
      </c>
      <c r="T93" s="57"/>
      <c r="V93" s="115"/>
    </row>
    <row r="94" spans="1:22" ht="14.1" customHeight="1" x14ac:dyDescent="0.2">
      <c r="A94" s="89">
        <v>35201</v>
      </c>
      <c r="B94" s="90">
        <v>35201</v>
      </c>
      <c r="C94" s="72" t="s">
        <v>75</v>
      </c>
      <c r="D94" s="102">
        <v>4333851</v>
      </c>
      <c r="E94" s="71">
        <v>165936</v>
      </c>
      <c r="F94" s="74">
        <f t="shared" si="31"/>
        <v>4499787</v>
      </c>
      <c r="G94" s="74"/>
      <c r="H94" s="74">
        <f>+G94+F94</f>
        <v>4499787</v>
      </c>
      <c r="I94" s="71">
        <v>4172793</v>
      </c>
      <c r="J94" s="73">
        <v>4499787</v>
      </c>
      <c r="K94" s="74">
        <v>185719</v>
      </c>
      <c r="L94" s="74">
        <f>+K94+J94</f>
        <v>4685506</v>
      </c>
      <c r="M94" s="74">
        <v>11710</v>
      </c>
      <c r="N94" s="73">
        <f t="shared" ref="N94:N95" si="36">+M94+L94</f>
        <v>4697216</v>
      </c>
      <c r="O94" s="73">
        <v>4355698</v>
      </c>
      <c r="P94" s="67">
        <f>4697216+993943+100000</f>
        <v>5791159</v>
      </c>
      <c r="Q94" s="87">
        <f t="shared" si="24"/>
        <v>0.23289178100389676</v>
      </c>
      <c r="R94" s="114" t="s">
        <v>1364</v>
      </c>
      <c r="T94" s="57"/>
      <c r="V94" s="57"/>
    </row>
    <row r="95" spans="1:22" ht="14.1" customHeight="1" x14ac:dyDescent="0.2">
      <c r="A95" s="94" t="s">
        <v>76</v>
      </c>
      <c r="B95" s="95">
        <v>352</v>
      </c>
      <c r="C95" s="96" t="s">
        <v>1596</v>
      </c>
      <c r="D95" s="43">
        <v>224000</v>
      </c>
      <c r="E95" s="97">
        <v>88380</v>
      </c>
      <c r="F95" s="98">
        <f t="shared" si="31"/>
        <v>312380</v>
      </c>
      <c r="G95" s="98">
        <v>1200</v>
      </c>
      <c r="H95" s="98">
        <f>+G95+F95</f>
        <v>313580</v>
      </c>
      <c r="I95" s="97">
        <v>343264</v>
      </c>
      <c r="J95" s="99">
        <v>224000</v>
      </c>
      <c r="K95" s="98">
        <v>4892</v>
      </c>
      <c r="L95" s="98">
        <f t="shared" ref="L95" si="37">+K95+J95</f>
        <v>228892</v>
      </c>
      <c r="M95" s="92">
        <v>107521</v>
      </c>
      <c r="N95" s="99">
        <f t="shared" si="36"/>
        <v>336413</v>
      </c>
      <c r="O95" s="99">
        <v>372437</v>
      </c>
      <c r="P95" s="67">
        <v>350000</v>
      </c>
      <c r="Q95" s="87">
        <f t="shared" si="24"/>
        <v>4.0387856592937844E-2</v>
      </c>
      <c r="R95" s="111"/>
    </row>
    <row r="96" spans="1:22" s="53" customFormat="1" ht="14.1" customHeight="1" x14ac:dyDescent="0.2">
      <c r="A96" s="79" t="s">
        <v>77</v>
      </c>
      <c r="B96" s="80">
        <v>38</v>
      </c>
      <c r="C96" s="81" t="s">
        <v>78</v>
      </c>
      <c r="D96" s="82">
        <v>271500</v>
      </c>
      <c r="E96" s="83">
        <f>+E97+E98+E99+E100+E101+E102+E103</f>
        <v>-85000</v>
      </c>
      <c r="F96" s="86">
        <f t="shared" si="31"/>
        <v>186500</v>
      </c>
      <c r="G96" s="86">
        <v>0</v>
      </c>
      <c r="H96" s="86">
        <f>+G96+F96</f>
        <v>186500</v>
      </c>
      <c r="I96" s="83">
        <f>+I97+I98+I99+I100+I101+I102+I103</f>
        <v>191376</v>
      </c>
      <c r="J96" s="85">
        <f>SUM(J97:J103)</f>
        <v>230000</v>
      </c>
      <c r="K96" s="85">
        <f t="shared" ref="K96:P96" si="38">SUM(K97:K103)</f>
        <v>0</v>
      </c>
      <c r="L96" s="85">
        <f t="shared" si="38"/>
        <v>230000</v>
      </c>
      <c r="M96" s="85">
        <f t="shared" si="38"/>
        <v>0</v>
      </c>
      <c r="N96" s="85">
        <f t="shared" si="38"/>
        <v>230000</v>
      </c>
      <c r="O96" s="85">
        <f t="shared" si="38"/>
        <v>162743</v>
      </c>
      <c r="P96" s="85">
        <f t="shared" si="38"/>
        <v>260000</v>
      </c>
      <c r="Q96" s="87">
        <f t="shared" si="24"/>
        <v>0.13043478260869565</v>
      </c>
      <c r="R96" s="88"/>
    </row>
    <row r="97" spans="1:110" ht="14.1" customHeight="1" x14ac:dyDescent="0.2">
      <c r="A97" s="89" t="s">
        <v>79</v>
      </c>
      <c r="B97" s="90">
        <v>38250</v>
      </c>
      <c r="C97" s="72" t="s">
        <v>80</v>
      </c>
      <c r="D97" s="102">
        <v>95000</v>
      </c>
      <c r="E97" s="71"/>
      <c r="F97" s="74">
        <f t="shared" si="31"/>
        <v>95000</v>
      </c>
      <c r="G97" s="74"/>
      <c r="H97" s="74">
        <f t="shared" si="34"/>
        <v>95000</v>
      </c>
      <c r="I97" s="71">
        <v>106237</v>
      </c>
      <c r="J97" s="73">
        <v>125000</v>
      </c>
      <c r="K97" s="74">
        <v>0</v>
      </c>
      <c r="L97" s="74">
        <f>+K97+J97</f>
        <v>125000</v>
      </c>
      <c r="M97" s="74"/>
      <c r="N97" s="73">
        <f t="shared" ref="N97:N103" si="39">+M97+L97</f>
        <v>125000</v>
      </c>
      <c r="O97" s="73">
        <v>72789</v>
      </c>
      <c r="P97" s="67">
        <v>125000</v>
      </c>
      <c r="Q97" s="116">
        <f t="shared" si="24"/>
        <v>0</v>
      </c>
      <c r="R97" s="107"/>
    </row>
    <row r="98" spans="1:110" s="53" customFormat="1" ht="14.1" customHeight="1" x14ac:dyDescent="0.2">
      <c r="A98" s="89" t="s">
        <v>81</v>
      </c>
      <c r="B98" s="90">
        <v>38251</v>
      </c>
      <c r="C98" s="72" t="s">
        <v>82</v>
      </c>
      <c r="D98" s="102">
        <v>175000</v>
      </c>
      <c r="E98" s="71">
        <v>-100000</v>
      </c>
      <c r="F98" s="74">
        <f t="shared" si="31"/>
        <v>75000</v>
      </c>
      <c r="G98" s="74"/>
      <c r="H98" s="74">
        <f t="shared" si="34"/>
        <v>75000</v>
      </c>
      <c r="I98" s="71">
        <v>66126</v>
      </c>
      <c r="J98" s="73">
        <v>90000</v>
      </c>
      <c r="K98" s="74">
        <v>0</v>
      </c>
      <c r="L98" s="74">
        <f t="shared" ref="L98:L103" si="40">+K98+J98</f>
        <v>90000</v>
      </c>
      <c r="M98" s="74"/>
      <c r="N98" s="73">
        <f t="shared" si="39"/>
        <v>90000</v>
      </c>
      <c r="O98" s="73">
        <v>65041</v>
      </c>
      <c r="P98" s="67">
        <v>90000</v>
      </c>
      <c r="Q98" s="87">
        <f t="shared" si="24"/>
        <v>0</v>
      </c>
      <c r="R98" s="88"/>
    </row>
    <row r="99" spans="1:110" ht="14.1" customHeight="1" x14ac:dyDescent="0.2">
      <c r="A99" s="89" t="s">
        <v>83</v>
      </c>
      <c r="B99" s="90">
        <v>38254</v>
      </c>
      <c r="C99" s="72" t="s">
        <v>84</v>
      </c>
      <c r="D99" s="102">
        <v>0</v>
      </c>
      <c r="E99" s="71"/>
      <c r="F99" s="74">
        <f t="shared" si="31"/>
        <v>0</v>
      </c>
      <c r="G99" s="74"/>
      <c r="H99" s="74">
        <f t="shared" si="34"/>
        <v>0</v>
      </c>
      <c r="I99" s="71"/>
      <c r="J99" s="73">
        <v>0</v>
      </c>
      <c r="K99" s="74">
        <v>0</v>
      </c>
      <c r="L99" s="74">
        <f t="shared" si="40"/>
        <v>0</v>
      </c>
      <c r="M99" s="74"/>
      <c r="N99" s="73">
        <f t="shared" si="39"/>
        <v>0</v>
      </c>
      <c r="O99" s="73"/>
      <c r="P99" s="67"/>
      <c r="Q99" s="87" t="e">
        <f t="shared" si="24"/>
        <v>#DIV/0!</v>
      </c>
      <c r="R99" s="88"/>
    </row>
    <row r="100" spans="1:110" ht="14.1" customHeight="1" x14ac:dyDescent="0.2">
      <c r="A100" s="89" t="s">
        <v>85</v>
      </c>
      <c r="B100" s="90">
        <v>38254</v>
      </c>
      <c r="C100" s="72" t="s">
        <v>86</v>
      </c>
      <c r="D100" s="102">
        <v>1500</v>
      </c>
      <c r="E100" s="71">
        <v>13000</v>
      </c>
      <c r="F100" s="74">
        <f t="shared" si="31"/>
        <v>14500</v>
      </c>
      <c r="G100" s="74"/>
      <c r="H100" s="74">
        <f t="shared" si="34"/>
        <v>14500</v>
      </c>
      <c r="I100" s="71">
        <v>13967</v>
      </c>
      <c r="J100" s="73">
        <v>15000</v>
      </c>
      <c r="K100" s="74">
        <v>0</v>
      </c>
      <c r="L100" s="74">
        <f t="shared" si="40"/>
        <v>15000</v>
      </c>
      <c r="M100" s="74"/>
      <c r="N100" s="73">
        <f t="shared" si="39"/>
        <v>15000</v>
      </c>
      <c r="O100" s="73">
        <v>24784</v>
      </c>
      <c r="P100" s="67">
        <v>45000</v>
      </c>
      <c r="Q100" s="87">
        <f t="shared" si="24"/>
        <v>2</v>
      </c>
      <c r="R100" s="88"/>
      <c r="S100" s="56" t="s">
        <v>1421</v>
      </c>
    </row>
    <row r="101" spans="1:110" ht="14.1" customHeight="1" x14ac:dyDescent="0.2">
      <c r="A101" s="89" t="s">
        <v>87</v>
      </c>
      <c r="B101" s="90">
        <v>38256</v>
      </c>
      <c r="C101" s="72" t="s">
        <v>88</v>
      </c>
      <c r="D101" s="102">
        <v>0</v>
      </c>
      <c r="E101" s="71"/>
      <c r="F101" s="74">
        <f t="shared" si="31"/>
        <v>0</v>
      </c>
      <c r="G101" s="74"/>
      <c r="H101" s="74">
        <f t="shared" si="34"/>
        <v>0</v>
      </c>
      <c r="I101" s="71">
        <v>812</v>
      </c>
      <c r="J101" s="73"/>
      <c r="K101" s="74">
        <v>0</v>
      </c>
      <c r="L101" s="74">
        <f t="shared" si="40"/>
        <v>0</v>
      </c>
      <c r="M101" s="74"/>
      <c r="N101" s="73">
        <f t="shared" si="39"/>
        <v>0</v>
      </c>
      <c r="O101" s="73">
        <v>7</v>
      </c>
      <c r="P101" s="67">
        <v>0</v>
      </c>
      <c r="Q101" s="87" t="e">
        <f t="shared" si="24"/>
        <v>#DIV/0!</v>
      </c>
      <c r="R101" s="88"/>
    </row>
    <row r="102" spans="1:110" ht="14.1" customHeight="1" x14ac:dyDescent="0.2">
      <c r="A102" s="89" t="s">
        <v>89</v>
      </c>
      <c r="B102" s="90"/>
      <c r="C102" s="72" t="s">
        <v>90</v>
      </c>
      <c r="D102" s="102">
        <v>0</v>
      </c>
      <c r="E102" s="71">
        <v>2000</v>
      </c>
      <c r="F102" s="74">
        <f t="shared" si="31"/>
        <v>2000</v>
      </c>
      <c r="G102" s="74"/>
      <c r="H102" s="74">
        <f t="shared" si="34"/>
        <v>2000</v>
      </c>
      <c r="I102" s="71">
        <v>1560</v>
      </c>
      <c r="J102" s="73"/>
      <c r="K102" s="74">
        <v>0</v>
      </c>
      <c r="L102" s="74">
        <f t="shared" si="40"/>
        <v>0</v>
      </c>
      <c r="M102" s="74"/>
      <c r="N102" s="73">
        <f t="shared" si="39"/>
        <v>0</v>
      </c>
      <c r="O102" s="73"/>
      <c r="P102" s="67"/>
      <c r="Q102" s="87" t="e">
        <f t="shared" si="24"/>
        <v>#DIV/0!</v>
      </c>
      <c r="R102" s="88"/>
    </row>
    <row r="103" spans="1:110" ht="14.1" customHeight="1" x14ac:dyDescent="0.2">
      <c r="A103" s="89" t="s">
        <v>91</v>
      </c>
      <c r="B103" s="90">
        <v>3888</v>
      </c>
      <c r="C103" s="72" t="s">
        <v>92</v>
      </c>
      <c r="D103" s="102">
        <v>0</v>
      </c>
      <c r="E103" s="71">
        <v>0</v>
      </c>
      <c r="F103" s="74">
        <f t="shared" si="31"/>
        <v>0</v>
      </c>
      <c r="G103" s="74"/>
      <c r="H103" s="74">
        <f t="shared" si="34"/>
        <v>0</v>
      </c>
      <c r="I103" s="71">
        <v>2674</v>
      </c>
      <c r="J103" s="73"/>
      <c r="K103" s="74">
        <v>0</v>
      </c>
      <c r="L103" s="74">
        <f t="shared" si="40"/>
        <v>0</v>
      </c>
      <c r="M103" s="74"/>
      <c r="N103" s="73">
        <f t="shared" si="39"/>
        <v>0</v>
      </c>
      <c r="O103" s="73">
        <v>122</v>
      </c>
      <c r="P103" s="67">
        <v>0</v>
      </c>
      <c r="Q103" s="87" t="e">
        <f t="shared" si="24"/>
        <v>#DIV/0!</v>
      </c>
      <c r="R103" s="88"/>
    </row>
    <row r="104" spans="1:110" s="53" customFormat="1" ht="14.1" customHeight="1" x14ac:dyDescent="0.25">
      <c r="A104" s="117" t="s">
        <v>93</v>
      </c>
      <c r="B104" s="118"/>
      <c r="C104" s="119" t="s">
        <v>94</v>
      </c>
      <c r="D104" s="120">
        <v>21377008</v>
      </c>
      <c r="E104" s="121">
        <f>+E5+E8+E75+E96</f>
        <v>124633</v>
      </c>
      <c r="F104" s="122">
        <f t="shared" si="31"/>
        <v>21501641</v>
      </c>
      <c r="G104" s="122">
        <f t="shared" ref="G104:P104" si="41">+G5+G8+G75+G96</f>
        <v>39190</v>
      </c>
      <c r="H104" s="122">
        <f t="shared" si="41"/>
        <v>21540831</v>
      </c>
      <c r="I104" s="83">
        <f t="shared" si="41"/>
        <v>18371167</v>
      </c>
      <c r="J104" s="82">
        <f t="shared" si="41"/>
        <v>22918342.100000001</v>
      </c>
      <c r="K104" s="82">
        <f t="shared" si="41"/>
        <v>865053</v>
      </c>
      <c r="L104" s="82">
        <f t="shared" si="41"/>
        <v>23783395.100000001</v>
      </c>
      <c r="M104" s="82">
        <f t="shared" si="41"/>
        <v>924974</v>
      </c>
      <c r="N104" s="82">
        <f t="shared" si="41"/>
        <v>24708369.100000001</v>
      </c>
      <c r="O104" s="82">
        <f t="shared" si="41"/>
        <v>21391565</v>
      </c>
      <c r="P104" s="82">
        <f t="shared" si="41"/>
        <v>28809109</v>
      </c>
      <c r="Q104" s="123">
        <f t="shared" si="24"/>
        <v>0.1659656241738755</v>
      </c>
      <c r="R104" s="124">
        <f>P104-N104</f>
        <v>4100739.8999999985</v>
      </c>
      <c r="U104" s="115"/>
    </row>
    <row r="105" spans="1:110" s="72" customFormat="1" ht="12" customHeight="1" x14ac:dyDescent="0.2">
      <c r="A105" s="89"/>
      <c r="B105" s="90"/>
      <c r="C105" s="125"/>
      <c r="D105" s="97"/>
      <c r="E105" s="71"/>
      <c r="F105" s="126"/>
      <c r="G105" s="126"/>
      <c r="H105" s="126"/>
      <c r="I105" s="71"/>
      <c r="J105" s="73"/>
      <c r="K105" s="74"/>
      <c r="L105" s="74"/>
      <c r="M105" s="74"/>
      <c r="N105" s="73"/>
      <c r="O105" s="73"/>
      <c r="P105" s="127"/>
      <c r="Q105" s="88" t="s">
        <v>1126</v>
      </c>
      <c r="R105" s="88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</row>
    <row r="106" spans="1:110" s="72" customFormat="1" ht="14.1" customHeight="1" x14ac:dyDescent="0.2">
      <c r="A106" s="89"/>
      <c r="B106" s="90"/>
      <c r="D106" s="97"/>
      <c r="E106" s="71"/>
      <c r="F106" s="74"/>
      <c r="G106" s="74"/>
      <c r="H106" s="74"/>
      <c r="I106" s="71"/>
      <c r="J106" s="73"/>
      <c r="K106" s="74"/>
      <c r="L106" s="74"/>
      <c r="M106" s="74"/>
      <c r="N106" s="73"/>
      <c r="O106" s="73"/>
      <c r="P106" s="127"/>
      <c r="Q106" s="87"/>
      <c r="R106" s="88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</row>
    <row r="107" spans="1:110" ht="14.1" customHeight="1" x14ac:dyDescent="0.2">
      <c r="A107" s="128" t="s">
        <v>95</v>
      </c>
      <c r="B107" s="129"/>
      <c r="C107" s="130" t="s">
        <v>96</v>
      </c>
      <c r="D107" s="131"/>
      <c r="E107" s="132"/>
      <c r="F107" s="133"/>
      <c r="G107" s="133"/>
      <c r="H107" s="133"/>
      <c r="I107" s="134"/>
      <c r="J107" s="135"/>
      <c r="K107" s="136"/>
      <c r="L107" s="136"/>
      <c r="M107" s="136"/>
      <c r="N107" s="135">
        <f>N117+N167+N175+N186+N262+N288+N344+N359+N955+N1450</f>
        <v>21288278.630000003</v>
      </c>
      <c r="O107" s="135">
        <f>O117+O167+O175+O186+O262+O288+O344+O359+O955+O1450</f>
        <v>17322477</v>
      </c>
      <c r="P107" s="135">
        <f>P117+P167+P175+P186+P262+P288+P344+P359+P955+P1450</f>
        <v>25810688</v>
      </c>
      <c r="Q107" s="87"/>
      <c r="R107" s="88"/>
    </row>
    <row r="108" spans="1:110" ht="14.1" customHeight="1" x14ac:dyDescent="0.25">
      <c r="A108" s="137"/>
      <c r="B108" s="137"/>
      <c r="C108" s="137" t="s">
        <v>1393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137">
        <f>N110+N111+N109+N112</f>
        <v>21288278.629999999</v>
      </c>
      <c r="O108" s="137">
        <f>O110+O111+O109+O112</f>
        <v>17322477</v>
      </c>
      <c r="P108" s="137">
        <f>P110+P111+P109+P112</f>
        <v>25810688</v>
      </c>
      <c r="Q108" s="123">
        <f>(P108-N108)/N108</f>
        <v>0.21243659238971552</v>
      </c>
      <c r="R108" s="138">
        <f>P108-N108</f>
        <v>4522409.370000001</v>
      </c>
    </row>
    <row r="109" spans="1:110" ht="14.1" customHeight="1" x14ac:dyDescent="0.25">
      <c r="A109" s="139"/>
      <c r="B109" s="139">
        <v>45</v>
      </c>
      <c r="C109" s="139" t="s">
        <v>1394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139">
        <f t="shared" ref="N109:P110" si="42">N119+N177+N188+N264+N290+N346+N361+N957+N1452</f>
        <v>1222377</v>
      </c>
      <c r="O109" s="139">
        <f t="shared" si="42"/>
        <v>1073990</v>
      </c>
      <c r="P109" s="139">
        <f t="shared" si="42"/>
        <v>1248643</v>
      </c>
      <c r="Q109" s="123">
        <f>(P109-N109)/N109</f>
        <v>2.1487642519451854E-2</v>
      </c>
      <c r="R109" s="138">
        <f t="shared" ref="R109:R112" si="43">P109-N109</f>
        <v>26266</v>
      </c>
    </row>
    <row r="110" spans="1:110" ht="14.1" customHeight="1" x14ac:dyDescent="0.25">
      <c r="A110" s="140"/>
      <c r="B110" s="140">
        <v>50</v>
      </c>
      <c r="C110" s="140" t="s">
        <v>1395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140">
        <f t="shared" si="42"/>
        <v>12111276</v>
      </c>
      <c r="O110" s="140">
        <f t="shared" si="42"/>
        <v>9440877</v>
      </c>
      <c r="P110" s="140">
        <f t="shared" si="42"/>
        <v>14915548</v>
      </c>
      <c r="Q110" s="123">
        <f>(P110-N110)/N110</f>
        <v>0.23154224212213478</v>
      </c>
      <c r="R110" s="138">
        <f t="shared" si="43"/>
        <v>2804272</v>
      </c>
    </row>
    <row r="111" spans="1:110" ht="14.1" customHeight="1" x14ac:dyDescent="0.25">
      <c r="A111" s="141"/>
      <c r="B111" s="141">
        <v>55</v>
      </c>
      <c r="C111" s="141" t="s">
        <v>1396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141">
        <f>N121+N174+N179+N190+N266+N292+N348+N363+N959+N1454</f>
        <v>7949600.6299999999</v>
      </c>
      <c r="O111" s="141">
        <f>O121+O174+O179+O190+O266+O292+O348+O363+O959+O1454</f>
        <v>6805851</v>
      </c>
      <c r="P111" s="141">
        <f>P121+P174+P179+P190+P266+P292+P348+P363+P959+P1454</f>
        <v>9645472</v>
      </c>
      <c r="Q111" s="123">
        <f>(P111-N111)/N111</f>
        <v>0.21332787003162951</v>
      </c>
      <c r="R111" s="138">
        <f t="shared" si="43"/>
        <v>1695871.37</v>
      </c>
    </row>
    <row r="112" spans="1:110" ht="14.1" customHeight="1" x14ac:dyDescent="0.25">
      <c r="A112" s="142"/>
      <c r="B112" s="142">
        <v>60</v>
      </c>
      <c r="C112" s="142" t="s">
        <v>1397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142">
        <f>N122+N180+N191+N267+N293+N960+N1455</f>
        <v>5025</v>
      </c>
      <c r="O112" s="142">
        <f>O122+O180+O191+O267+O293+O960+O1455</f>
        <v>1759</v>
      </c>
      <c r="P112" s="142">
        <f>P122+P180+P191+P267+P293+P960+P1455</f>
        <v>1025</v>
      </c>
      <c r="Q112" s="123">
        <f>(P112-N112)/N112</f>
        <v>-0.79601990049751248</v>
      </c>
      <c r="R112" s="138">
        <f t="shared" si="43"/>
        <v>-4000</v>
      </c>
    </row>
    <row r="113" spans="1:20" ht="14.1" customHeight="1" x14ac:dyDescent="0.2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43"/>
      <c r="Q113" s="123"/>
      <c r="R113" s="138"/>
    </row>
    <row r="114" spans="1:20" ht="14.1" customHeight="1" x14ac:dyDescent="0.25">
      <c r="A114" s="128"/>
      <c r="B114" s="129"/>
      <c r="C114" s="130" t="s">
        <v>496</v>
      </c>
      <c r="D114" s="131"/>
      <c r="E114" s="132"/>
      <c r="F114" s="133"/>
      <c r="G114" s="133"/>
      <c r="H114" s="133"/>
      <c r="I114" s="134"/>
      <c r="J114" s="135"/>
      <c r="K114" s="136"/>
      <c r="L114" s="136"/>
      <c r="M114" s="136"/>
      <c r="N114" s="85">
        <f>N104-N108</f>
        <v>3420090.4700000025</v>
      </c>
      <c r="O114" s="85">
        <f>O104-O108</f>
        <v>4069088</v>
      </c>
      <c r="P114" s="100">
        <f>P104-P108</f>
        <v>2998421</v>
      </c>
      <c r="Q114" s="123">
        <f>(P114-N114)/N114</f>
        <v>-0.12329190519922188</v>
      </c>
      <c r="R114" s="88" t="s">
        <v>1582</v>
      </c>
    </row>
    <row r="115" spans="1:20" ht="14.1" customHeight="1" x14ac:dyDescent="0.2">
      <c r="A115" s="68" t="s">
        <v>3</v>
      </c>
      <c r="B115" s="69" t="s">
        <v>1033</v>
      </c>
      <c r="C115" s="70"/>
      <c r="D115" s="43"/>
      <c r="E115" s="71"/>
      <c r="F115" s="72"/>
      <c r="G115" s="72"/>
      <c r="H115" s="72"/>
      <c r="I115" s="71"/>
      <c r="J115" s="73"/>
      <c r="K115" s="74"/>
      <c r="L115" s="74"/>
      <c r="M115" s="74"/>
      <c r="N115" s="73"/>
      <c r="O115" s="73"/>
      <c r="P115" s="127"/>
      <c r="Q115" s="88"/>
      <c r="R115" s="88"/>
    </row>
    <row r="116" spans="1:20" ht="14.1" customHeight="1" x14ac:dyDescent="0.2">
      <c r="A116" s="89" t="s">
        <v>4</v>
      </c>
      <c r="B116" s="90" t="s">
        <v>1034</v>
      </c>
      <c r="C116" s="144"/>
      <c r="D116" s="43"/>
      <c r="E116" s="71"/>
      <c r="F116" s="72"/>
      <c r="G116" s="72"/>
      <c r="H116" s="72"/>
      <c r="I116" s="71"/>
      <c r="J116" s="73"/>
      <c r="K116" s="74"/>
      <c r="L116" s="74"/>
      <c r="M116" s="74"/>
      <c r="N116" s="73"/>
      <c r="O116" s="73"/>
      <c r="P116" s="127"/>
      <c r="Q116" s="88"/>
      <c r="R116" s="88"/>
    </row>
    <row r="117" spans="1:20" ht="14.1" customHeight="1" x14ac:dyDescent="0.2">
      <c r="A117" s="79" t="s">
        <v>97</v>
      </c>
      <c r="B117" s="80"/>
      <c r="C117" s="81" t="s">
        <v>98</v>
      </c>
      <c r="D117" s="82">
        <v>979925</v>
      </c>
      <c r="E117" s="83">
        <f>+E123+E133+E160+E162+E165</f>
        <v>-65404</v>
      </c>
      <c r="F117" s="86">
        <f>+E117+D117</f>
        <v>914521</v>
      </c>
      <c r="G117" s="86">
        <f t="shared" ref="G117:J117" si="44">+G123+G133+G160+G162+G165</f>
        <v>-29840</v>
      </c>
      <c r="H117" s="86">
        <f>+H123+H133+H160+H162+H165</f>
        <v>884681</v>
      </c>
      <c r="I117" s="83">
        <f t="shared" si="44"/>
        <v>668027.36</v>
      </c>
      <c r="J117" s="82">
        <f t="shared" si="44"/>
        <v>1100653</v>
      </c>
      <c r="K117" s="82">
        <f>+K123+K133+K160+K162+K165</f>
        <v>-16257</v>
      </c>
      <c r="L117" s="83">
        <f>+L123+L133+L160+L162+L165</f>
        <v>1084396</v>
      </c>
      <c r="M117" s="83">
        <f>+M123+M133+M160+M162+M165</f>
        <v>12948</v>
      </c>
      <c r="N117" s="83">
        <f t="shared" ref="N117:P117" si="45">+N123+N133+N160+N162+N165</f>
        <v>1097344</v>
      </c>
      <c r="O117" s="83">
        <f t="shared" ref="O117" si="46">+O123+O133+O160+O162+O165</f>
        <v>878091</v>
      </c>
      <c r="P117" s="83">
        <f t="shared" si="45"/>
        <v>1257369</v>
      </c>
      <c r="Q117" s="87">
        <f t="shared" ref="Q117:Q126" si="47">(P117-N117)/N117</f>
        <v>0.14582938440452584</v>
      </c>
      <c r="R117" s="88"/>
      <c r="T117" s="57"/>
    </row>
    <row r="118" spans="1:20" ht="12.75" x14ac:dyDescent="0.2">
      <c r="A118" s="137"/>
      <c r="B118" s="137"/>
      <c r="C118" s="137" t="s">
        <v>1035</v>
      </c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>
        <f>N120+N121+N119+N122</f>
        <v>1097344</v>
      </c>
      <c r="O118" s="137">
        <f>O120+O121+O119+O122</f>
        <v>878091</v>
      </c>
      <c r="P118" s="137">
        <f>P120+P121+P119+P122</f>
        <v>1257369</v>
      </c>
      <c r="Q118" s="87">
        <f t="shared" si="47"/>
        <v>0.14582938440452584</v>
      </c>
      <c r="R118" s="88"/>
      <c r="T118" s="57"/>
    </row>
    <row r="119" spans="1:20" ht="14.1" customHeight="1" x14ac:dyDescent="0.2">
      <c r="A119" s="139"/>
      <c r="B119" s="139">
        <v>45</v>
      </c>
      <c r="C119" s="139" t="s">
        <v>1038</v>
      </c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>
        <f>N161+N166</f>
        <v>169421</v>
      </c>
      <c r="O119" s="139">
        <f>O161+O166</f>
        <v>115217</v>
      </c>
      <c r="P119" s="139">
        <f>P161+P166</f>
        <v>198843</v>
      </c>
      <c r="Q119" s="87">
        <f t="shared" si="47"/>
        <v>0.173662060783492</v>
      </c>
      <c r="R119" s="88"/>
      <c r="T119" s="57"/>
    </row>
    <row r="120" spans="1:20" ht="14.1" customHeight="1" x14ac:dyDescent="0.2">
      <c r="A120" s="140"/>
      <c r="B120" s="140">
        <v>50</v>
      </c>
      <c r="C120" s="140" t="s">
        <v>1036</v>
      </c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>
        <f>N124+N134+N163</f>
        <v>658840</v>
      </c>
      <c r="O120" s="140">
        <f>O124+O134+O163</f>
        <v>534255</v>
      </c>
      <c r="P120" s="140">
        <f>P124+P134+P163</f>
        <v>777766</v>
      </c>
      <c r="Q120" s="87">
        <f t="shared" si="47"/>
        <v>0.18050816586728188</v>
      </c>
      <c r="R120" s="88"/>
      <c r="T120" s="57"/>
    </row>
    <row r="121" spans="1:20" ht="14.1" customHeight="1" x14ac:dyDescent="0.2">
      <c r="A121" s="141"/>
      <c r="B121" s="141">
        <v>55</v>
      </c>
      <c r="C121" s="141" t="s">
        <v>1037</v>
      </c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>
        <f>N125+N135+N164+N174</f>
        <v>264083</v>
      </c>
      <c r="O121" s="141">
        <f>O125+O135+O164+O174</f>
        <v>226860</v>
      </c>
      <c r="P121" s="67">
        <f>P125+P135+P164+P174</f>
        <v>279760</v>
      </c>
      <c r="Q121" s="87">
        <f t="shared" si="47"/>
        <v>5.9363912103391737E-2</v>
      </c>
      <c r="R121" s="88"/>
      <c r="T121" s="57"/>
    </row>
    <row r="122" spans="1:20" ht="14.1" customHeight="1" x14ac:dyDescent="0.2">
      <c r="A122" s="142"/>
      <c r="B122" s="142">
        <v>60</v>
      </c>
      <c r="C122" s="142" t="s">
        <v>1039</v>
      </c>
      <c r="D122" s="145"/>
      <c r="E122" s="142"/>
      <c r="F122" s="142"/>
      <c r="G122" s="142"/>
      <c r="H122" s="142"/>
      <c r="I122" s="142"/>
      <c r="J122" s="145"/>
      <c r="K122" s="142"/>
      <c r="L122" s="142"/>
      <c r="M122" s="142"/>
      <c r="N122" s="142">
        <f>+N159</f>
        <v>5000</v>
      </c>
      <c r="O122" s="142">
        <f>+O159</f>
        <v>1759</v>
      </c>
      <c r="P122" s="142">
        <f>+P159</f>
        <v>1000</v>
      </c>
      <c r="Q122" s="87">
        <f t="shared" si="47"/>
        <v>-0.8</v>
      </c>
      <c r="R122" s="88"/>
      <c r="T122" s="57"/>
    </row>
    <row r="123" spans="1:20" ht="14.1" customHeight="1" x14ac:dyDescent="0.2">
      <c r="A123" s="146" t="s">
        <v>99</v>
      </c>
      <c r="B123" s="147"/>
      <c r="C123" s="148" t="s">
        <v>100</v>
      </c>
      <c r="D123" s="149">
        <v>90825</v>
      </c>
      <c r="E123" s="150">
        <f>+E124+E125</f>
        <v>0</v>
      </c>
      <c r="F123" s="137">
        <f>+E123+D123</f>
        <v>90825</v>
      </c>
      <c r="G123" s="137">
        <f>+G124+G125</f>
        <v>0</v>
      </c>
      <c r="H123" s="137">
        <f>+H124+H125</f>
        <v>90825</v>
      </c>
      <c r="I123" s="151">
        <f>+I124+I125</f>
        <v>53594</v>
      </c>
      <c r="J123" s="152">
        <f>+J124+J125</f>
        <v>128000</v>
      </c>
      <c r="K123" s="137">
        <v>0</v>
      </c>
      <c r="L123" s="137">
        <f>+L124+L125</f>
        <v>128000</v>
      </c>
      <c r="M123" s="137">
        <f>+M124+M125</f>
        <v>0</v>
      </c>
      <c r="N123" s="137">
        <f>+N124+N125</f>
        <v>128000</v>
      </c>
      <c r="O123" s="137">
        <f>+O124+O125</f>
        <v>92235</v>
      </c>
      <c r="P123" s="137">
        <f>+P124+P125</f>
        <v>143160</v>
      </c>
      <c r="Q123" s="87">
        <f t="shared" si="47"/>
        <v>0.1184375</v>
      </c>
      <c r="R123" s="88"/>
    </row>
    <row r="124" spans="1:20" ht="14.1" customHeight="1" x14ac:dyDescent="0.2">
      <c r="A124" s="94"/>
      <c r="B124" s="95" t="s">
        <v>101</v>
      </c>
      <c r="C124" s="96" t="s">
        <v>102</v>
      </c>
      <c r="D124" s="43">
        <v>69025</v>
      </c>
      <c r="E124" s="71"/>
      <c r="F124" s="74">
        <v>69025</v>
      </c>
      <c r="G124" s="72"/>
      <c r="H124" s="72">
        <v>69025</v>
      </c>
      <c r="I124" s="71">
        <v>51733</v>
      </c>
      <c r="J124" s="73">
        <v>106000</v>
      </c>
      <c r="K124" s="74"/>
      <c r="L124" s="140">
        <v>106000</v>
      </c>
      <c r="M124" s="140"/>
      <c r="N124" s="140">
        <f>+L124+M124</f>
        <v>106000</v>
      </c>
      <c r="O124" s="140">
        <v>89152</v>
      </c>
      <c r="P124" s="140">
        <v>122000</v>
      </c>
      <c r="Q124" s="87">
        <f t="shared" si="47"/>
        <v>0.15094339622641509</v>
      </c>
      <c r="R124" s="88"/>
    </row>
    <row r="125" spans="1:20" ht="14.1" customHeight="1" x14ac:dyDescent="0.2">
      <c r="A125" s="94"/>
      <c r="B125" s="95" t="s">
        <v>103</v>
      </c>
      <c r="C125" s="96" t="s">
        <v>104</v>
      </c>
      <c r="D125" s="43">
        <v>21800</v>
      </c>
      <c r="E125" s="71"/>
      <c r="F125" s="74">
        <f t="shared" ref="F125:F131" si="48">+E125+D125</f>
        <v>21800</v>
      </c>
      <c r="G125" s="74"/>
      <c r="H125" s="74">
        <f t="shared" ref="H125:H131" si="49">+G125+F125</f>
        <v>21800</v>
      </c>
      <c r="I125" s="71">
        <f>+I126+I127+I128+I129+I131+I132</f>
        <v>1861</v>
      </c>
      <c r="J125" s="73">
        <f>+J126+J127+J128+J129+J131+J132</f>
        <v>22000</v>
      </c>
      <c r="K125" s="74"/>
      <c r="L125" s="141">
        <f>+L126+L127+L128+L129+L131+L132</f>
        <v>22000</v>
      </c>
      <c r="M125" s="141"/>
      <c r="N125" s="141">
        <f>+N126+N127+N128+N129+N131+N132</f>
        <v>22000</v>
      </c>
      <c r="O125" s="141">
        <f>+O126+O127+O128+O129+O131+O132</f>
        <v>3083</v>
      </c>
      <c r="P125" s="141">
        <f>+P126+P127+P128+P129+P131+P132</f>
        <v>21160</v>
      </c>
      <c r="Q125" s="87">
        <f t="shared" si="47"/>
        <v>-3.8181818181818185E-2</v>
      </c>
      <c r="R125" s="88"/>
    </row>
    <row r="126" spans="1:20" ht="14.1" customHeight="1" x14ac:dyDescent="0.2">
      <c r="A126" s="94"/>
      <c r="B126" s="90" t="s">
        <v>105</v>
      </c>
      <c r="C126" s="72" t="s">
        <v>106</v>
      </c>
      <c r="D126" s="102">
        <v>18000</v>
      </c>
      <c r="E126" s="71"/>
      <c r="F126" s="74">
        <f t="shared" si="48"/>
        <v>18000</v>
      </c>
      <c r="G126" s="74"/>
      <c r="H126" s="74">
        <f t="shared" si="49"/>
        <v>18000</v>
      </c>
      <c r="I126" s="71">
        <v>5</v>
      </c>
      <c r="J126" s="73">
        <v>18000</v>
      </c>
      <c r="K126" s="74"/>
      <c r="L126" s="153">
        <v>18000</v>
      </c>
      <c r="M126" s="153"/>
      <c r="N126" s="74">
        <f t="shared" ref="N126:N132" si="50">+M126+L126</f>
        <v>18000</v>
      </c>
      <c r="O126" s="74">
        <v>48</v>
      </c>
      <c r="P126" s="67">
        <v>8000</v>
      </c>
      <c r="Q126" s="87">
        <f t="shared" si="47"/>
        <v>-0.55555555555555558</v>
      </c>
      <c r="R126" s="88"/>
    </row>
    <row r="127" spans="1:20" ht="14.1" customHeight="1" x14ac:dyDescent="0.2">
      <c r="A127" s="94"/>
      <c r="B127" s="90">
        <v>5503</v>
      </c>
      <c r="C127" s="72" t="s">
        <v>107</v>
      </c>
      <c r="D127" s="102">
        <v>0</v>
      </c>
      <c r="E127" s="71"/>
      <c r="F127" s="74">
        <f t="shared" si="48"/>
        <v>0</v>
      </c>
      <c r="G127" s="74"/>
      <c r="H127" s="74">
        <f t="shared" si="49"/>
        <v>0</v>
      </c>
      <c r="I127" s="71"/>
      <c r="J127" s="73"/>
      <c r="K127" s="74"/>
      <c r="L127" s="153"/>
      <c r="M127" s="153"/>
      <c r="N127" s="74">
        <f t="shared" si="50"/>
        <v>0</v>
      </c>
      <c r="O127" s="74"/>
      <c r="P127" s="67">
        <v>8000</v>
      </c>
      <c r="Q127" s="87">
        <v>0</v>
      </c>
      <c r="R127" s="88"/>
    </row>
    <row r="128" spans="1:20" ht="14.1" customHeight="1" x14ac:dyDescent="0.2">
      <c r="A128" s="94"/>
      <c r="B128" s="90" t="s">
        <v>108</v>
      </c>
      <c r="C128" s="72" t="s">
        <v>109</v>
      </c>
      <c r="D128" s="102">
        <v>2800</v>
      </c>
      <c r="E128" s="71"/>
      <c r="F128" s="74">
        <f t="shared" si="48"/>
        <v>2800</v>
      </c>
      <c r="G128" s="74"/>
      <c r="H128" s="74">
        <f t="shared" si="49"/>
        <v>2800</v>
      </c>
      <c r="I128" s="71">
        <v>200</v>
      </c>
      <c r="J128" s="73">
        <v>3000</v>
      </c>
      <c r="K128" s="74"/>
      <c r="L128" s="153">
        <v>3000</v>
      </c>
      <c r="M128" s="153"/>
      <c r="N128" s="74">
        <f t="shared" si="50"/>
        <v>3000</v>
      </c>
      <c r="O128" s="74">
        <v>934</v>
      </c>
      <c r="P128" s="67">
        <v>2000</v>
      </c>
      <c r="Q128" s="87">
        <f>(P128-N128)/N128</f>
        <v>-0.33333333333333331</v>
      </c>
      <c r="R128" s="88"/>
    </row>
    <row r="129" spans="1:20" ht="14.1" customHeight="1" x14ac:dyDescent="0.2">
      <c r="A129" s="94"/>
      <c r="B129" s="90">
        <v>5511</v>
      </c>
      <c r="C129" s="72" t="s">
        <v>110</v>
      </c>
      <c r="D129" s="102">
        <v>500</v>
      </c>
      <c r="E129" s="71"/>
      <c r="F129" s="74">
        <f t="shared" si="48"/>
        <v>500</v>
      </c>
      <c r="G129" s="74"/>
      <c r="H129" s="74">
        <f t="shared" si="49"/>
        <v>500</v>
      </c>
      <c r="I129" s="71">
        <v>674</v>
      </c>
      <c r="J129" s="73">
        <v>500</v>
      </c>
      <c r="K129" s="74"/>
      <c r="L129" s="153">
        <v>500</v>
      </c>
      <c r="M129" s="153"/>
      <c r="N129" s="153">
        <f t="shared" si="50"/>
        <v>500</v>
      </c>
      <c r="O129" s="153">
        <f>O130</f>
        <v>1161</v>
      </c>
      <c r="P129" s="67">
        <f>P130</f>
        <v>2500</v>
      </c>
      <c r="Q129" s="87">
        <f>(P129-N129)/N129</f>
        <v>4</v>
      </c>
      <c r="R129" s="88"/>
    </row>
    <row r="130" spans="1:20" ht="14.1" customHeight="1" x14ac:dyDescent="0.2">
      <c r="A130" s="94"/>
      <c r="B130" s="90"/>
      <c r="C130" s="154" t="s">
        <v>111</v>
      </c>
      <c r="D130" s="102">
        <v>0</v>
      </c>
      <c r="E130" s="71"/>
      <c r="F130" s="74">
        <f t="shared" si="48"/>
        <v>0</v>
      </c>
      <c r="G130" s="74"/>
      <c r="H130" s="74">
        <f t="shared" si="49"/>
        <v>0</v>
      </c>
      <c r="I130" s="71"/>
      <c r="J130" s="73"/>
      <c r="K130" s="74"/>
      <c r="L130" s="153"/>
      <c r="M130" s="153"/>
      <c r="N130" s="153">
        <f t="shared" si="50"/>
        <v>0</v>
      </c>
      <c r="O130" s="153">
        <v>1161</v>
      </c>
      <c r="P130" s="155">
        <v>2500</v>
      </c>
      <c r="Q130" s="87">
        <v>1</v>
      </c>
      <c r="R130" s="88" t="s">
        <v>801</v>
      </c>
      <c r="S130" s="56" t="s">
        <v>802</v>
      </c>
    </row>
    <row r="131" spans="1:20" ht="14.1" customHeight="1" x14ac:dyDescent="0.2">
      <c r="A131" s="94"/>
      <c r="B131" s="90">
        <v>5514</v>
      </c>
      <c r="C131" s="72" t="s">
        <v>112</v>
      </c>
      <c r="D131" s="102">
        <v>500</v>
      </c>
      <c r="E131" s="71"/>
      <c r="F131" s="74">
        <f t="shared" si="48"/>
        <v>500</v>
      </c>
      <c r="G131" s="74"/>
      <c r="H131" s="74">
        <f t="shared" si="49"/>
        <v>500</v>
      </c>
      <c r="I131" s="71">
        <v>486</v>
      </c>
      <c r="J131" s="73">
        <v>500</v>
      </c>
      <c r="K131" s="74"/>
      <c r="L131" s="153">
        <v>500</v>
      </c>
      <c r="M131" s="153"/>
      <c r="N131" s="74">
        <f t="shared" si="50"/>
        <v>500</v>
      </c>
      <c r="O131" s="74">
        <v>540</v>
      </c>
      <c r="P131" s="67">
        <f>55*12</f>
        <v>660</v>
      </c>
      <c r="Q131" s="87">
        <f>(P131-N131)/N131</f>
        <v>0.32</v>
      </c>
      <c r="R131" s="88" t="s">
        <v>1218</v>
      </c>
    </row>
    <row r="132" spans="1:20" ht="14.1" customHeight="1" x14ac:dyDescent="0.2">
      <c r="A132" s="94"/>
      <c r="B132" s="90">
        <v>5540</v>
      </c>
      <c r="C132" s="72" t="s">
        <v>617</v>
      </c>
      <c r="D132" s="102">
        <v>0</v>
      </c>
      <c r="E132" s="71"/>
      <c r="F132" s="72"/>
      <c r="G132" s="72"/>
      <c r="H132" s="72"/>
      <c r="I132" s="71">
        <v>496</v>
      </c>
      <c r="J132" s="73"/>
      <c r="K132" s="74"/>
      <c r="L132" s="153"/>
      <c r="M132" s="153"/>
      <c r="N132" s="74">
        <f t="shared" si="50"/>
        <v>0</v>
      </c>
      <c r="O132" s="74">
        <v>400</v>
      </c>
      <c r="P132" s="67">
        <f>+N132+M132</f>
        <v>0</v>
      </c>
      <c r="Q132" s="87">
        <v>0</v>
      </c>
      <c r="R132" s="88"/>
    </row>
    <row r="133" spans="1:20" ht="14.1" customHeight="1" x14ac:dyDescent="0.2">
      <c r="A133" s="146" t="s">
        <v>113</v>
      </c>
      <c r="B133" s="147"/>
      <c r="C133" s="148" t="s">
        <v>114</v>
      </c>
      <c r="D133" s="149">
        <v>682700</v>
      </c>
      <c r="E133" s="151">
        <f>+E134+E135+E159</f>
        <v>0</v>
      </c>
      <c r="F133" s="137">
        <f>+E133+D133</f>
        <v>682700</v>
      </c>
      <c r="G133" s="137">
        <f>+G134+G135</f>
        <v>0</v>
      </c>
      <c r="H133" s="137">
        <f>+H134+H135</f>
        <v>682700</v>
      </c>
      <c r="I133" s="151">
        <f>+I134+I135+I159</f>
        <v>559205.36</v>
      </c>
      <c r="J133" s="152">
        <f>+J134+J135+J159</f>
        <v>789653</v>
      </c>
      <c r="K133" s="152">
        <f>+K134+K135+K159</f>
        <v>-29687</v>
      </c>
      <c r="L133" s="152">
        <f>+L134+L135+L159</f>
        <v>759966</v>
      </c>
      <c r="M133" s="152">
        <f t="shared" ref="M133:N133" si="51">+M134+M135+M159</f>
        <v>39957</v>
      </c>
      <c r="N133" s="152">
        <f t="shared" si="51"/>
        <v>799923</v>
      </c>
      <c r="O133" s="152">
        <f t="shared" ref="O133" si="52">+O134+O135+O159</f>
        <v>670639</v>
      </c>
      <c r="P133" s="152">
        <f t="shared" ref="P133" si="53">+P134+P135+P159</f>
        <v>893366</v>
      </c>
      <c r="Q133" s="87">
        <f>(P133-N133)/N133</f>
        <v>0.11681499344311889</v>
      </c>
      <c r="R133" s="88"/>
      <c r="S133" s="156"/>
      <c r="T133" s="49"/>
    </row>
    <row r="134" spans="1:20" ht="14.1" customHeight="1" x14ac:dyDescent="0.2">
      <c r="A134" s="94"/>
      <c r="B134" s="95" t="s">
        <v>101</v>
      </c>
      <c r="C134" s="96" t="s">
        <v>102</v>
      </c>
      <c r="D134" s="43">
        <v>477730</v>
      </c>
      <c r="E134" s="71"/>
      <c r="F134" s="74">
        <f t="shared" ref="F134:F149" si="54">+D134+E134</f>
        <v>477730</v>
      </c>
      <c r="G134" s="74"/>
      <c r="H134" s="74">
        <f t="shared" ref="H134:H149" si="55">+F134+G134</f>
        <v>477730</v>
      </c>
      <c r="I134" s="71">
        <v>394333</v>
      </c>
      <c r="J134" s="73">
        <v>572003</v>
      </c>
      <c r="K134" s="74">
        <v>-19964</v>
      </c>
      <c r="L134" s="140">
        <f>+K134+J134</f>
        <v>552039</v>
      </c>
      <c r="M134" s="92">
        <v>801</v>
      </c>
      <c r="N134" s="140">
        <f>+L134+M134</f>
        <v>552840</v>
      </c>
      <c r="O134" s="140">
        <v>445103</v>
      </c>
      <c r="P134" s="140">
        <v>635766</v>
      </c>
      <c r="Q134" s="87">
        <f>(P134-N134)/N134</f>
        <v>0.15</v>
      </c>
      <c r="R134" s="88"/>
      <c r="S134" s="156"/>
      <c r="T134" s="49"/>
    </row>
    <row r="135" spans="1:20" ht="14.1" customHeight="1" x14ac:dyDescent="0.2">
      <c r="A135" s="94"/>
      <c r="B135" s="95" t="s">
        <v>103</v>
      </c>
      <c r="C135" s="96" t="s">
        <v>104</v>
      </c>
      <c r="D135" s="43">
        <v>204970</v>
      </c>
      <c r="E135" s="71"/>
      <c r="F135" s="74">
        <f t="shared" si="54"/>
        <v>204970</v>
      </c>
      <c r="G135" s="74"/>
      <c r="H135" s="74">
        <f t="shared" si="55"/>
        <v>204970</v>
      </c>
      <c r="I135" s="71">
        <f>+I136+I137+I138+I139+I140+I150+I151+I152+I153+I154+I156+I157+I158</f>
        <v>163148.35999999999</v>
      </c>
      <c r="J135" s="73">
        <f>+J136+J138+J139+J140+J151+J152+J153+J154+J156+J157+J158</f>
        <v>212650</v>
      </c>
      <c r="K135" s="73">
        <f>+K136+K138+K139+K140+K151+K152+K153+K154+K156+K157+K158</f>
        <v>-9723</v>
      </c>
      <c r="L135" s="141">
        <f>+L136+L138+L139+L140+L151+L152+L153+L154+L156+L157+L158+L137+L155+L150</f>
        <v>202927</v>
      </c>
      <c r="M135" s="141">
        <f>+M136+M138+M139+M140+M151+M152+M153+M154+M156+M157+M158+M137+M155+M150</f>
        <v>39156</v>
      </c>
      <c r="N135" s="141">
        <f t="shared" ref="N135:O135" si="56">+N136+N138+N139+N140+N151+N152+N153+N154+N156+N157+N158+N137+N155+N150</f>
        <v>242083</v>
      </c>
      <c r="O135" s="141">
        <f t="shared" si="56"/>
        <v>223777</v>
      </c>
      <c r="P135" s="141">
        <f>+P136+P138+P139+P140+P151+P152+P153+P154+P156+P157+P158+P137+P155+P150</f>
        <v>256600</v>
      </c>
      <c r="Q135" s="87">
        <f>(P135-N135)/N135</f>
        <v>5.9967036099189124E-2</v>
      </c>
      <c r="R135" s="88"/>
      <c r="S135" s="156"/>
      <c r="T135" s="49"/>
    </row>
    <row r="136" spans="1:20" ht="14.1" customHeight="1" x14ac:dyDescent="0.2">
      <c r="A136" s="89"/>
      <c r="B136" s="90" t="s">
        <v>105</v>
      </c>
      <c r="C136" s="72" t="s">
        <v>115</v>
      </c>
      <c r="D136" s="102">
        <v>62850</v>
      </c>
      <c r="E136" s="71"/>
      <c r="F136" s="74">
        <f t="shared" si="54"/>
        <v>62850</v>
      </c>
      <c r="G136" s="74"/>
      <c r="H136" s="74">
        <f t="shared" si="55"/>
        <v>62850</v>
      </c>
      <c r="I136" s="71">
        <v>60262</v>
      </c>
      <c r="J136" s="73">
        <v>62850</v>
      </c>
      <c r="K136" s="74">
        <v>0</v>
      </c>
      <c r="L136" s="74">
        <v>62850</v>
      </c>
      <c r="M136" s="92">
        <v>500</v>
      </c>
      <c r="N136" s="74">
        <f>+L136+M136</f>
        <v>63350</v>
      </c>
      <c r="O136" s="74">
        <v>94280</v>
      </c>
      <c r="P136" s="67">
        <v>80000</v>
      </c>
      <c r="Q136" s="87">
        <f>(P136-N136)/N136</f>
        <v>0.26282557221783742</v>
      </c>
      <c r="R136" s="88"/>
      <c r="S136" s="156" t="s">
        <v>1148</v>
      </c>
      <c r="T136" s="49"/>
    </row>
    <row r="137" spans="1:20" ht="14.1" customHeight="1" x14ac:dyDescent="0.2">
      <c r="A137" s="89"/>
      <c r="B137" s="90">
        <v>5502</v>
      </c>
      <c r="C137" s="72" t="s">
        <v>116</v>
      </c>
      <c r="D137" s="102">
        <v>0</v>
      </c>
      <c r="E137" s="71"/>
      <c r="F137" s="74">
        <f t="shared" si="54"/>
        <v>0</v>
      </c>
      <c r="G137" s="74"/>
      <c r="H137" s="74">
        <f t="shared" si="55"/>
        <v>0</v>
      </c>
      <c r="I137" s="71">
        <v>0</v>
      </c>
      <c r="J137" s="73">
        <v>0</v>
      </c>
      <c r="K137" s="74">
        <v>0</v>
      </c>
      <c r="L137" s="74">
        <v>0</v>
      </c>
      <c r="M137" s="74"/>
      <c r="N137" s="74">
        <f t="shared" ref="N137:N138" si="57">+L137+M137</f>
        <v>0</v>
      </c>
      <c r="O137" s="74">
        <v>0</v>
      </c>
      <c r="P137" s="67"/>
      <c r="Q137" s="87">
        <v>0</v>
      </c>
      <c r="R137" s="88"/>
      <c r="S137" s="156"/>
      <c r="T137" s="49"/>
    </row>
    <row r="138" spans="1:20" ht="14.1" customHeight="1" x14ac:dyDescent="0.2">
      <c r="A138" s="89"/>
      <c r="B138" s="90" t="s">
        <v>117</v>
      </c>
      <c r="C138" s="72" t="s">
        <v>107</v>
      </c>
      <c r="D138" s="102">
        <v>3000</v>
      </c>
      <c r="E138" s="71"/>
      <c r="F138" s="74">
        <f t="shared" si="54"/>
        <v>3000</v>
      </c>
      <c r="G138" s="74"/>
      <c r="H138" s="74">
        <f t="shared" si="55"/>
        <v>3000</v>
      </c>
      <c r="I138" s="71">
        <v>0</v>
      </c>
      <c r="J138" s="73">
        <v>3000</v>
      </c>
      <c r="K138" s="74">
        <v>0</v>
      </c>
      <c r="L138" s="74">
        <v>3000</v>
      </c>
      <c r="M138" s="74"/>
      <c r="N138" s="74">
        <f t="shared" si="57"/>
        <v>3000</v>
      </c>
      <c r="O138" s="74">
        <v>0</v>
      </c>
      <c r="P138" s="67">
        <v>2000</v>
      </c>
      <c r="Q138" s="87">
        <f>(P138-N138)/N138</f>
        <v>-0.33333333333333331</v>
      </c>
      <c r="R138" s="88"/>
      <c r="S138" s="156"/>
      <c r="T138" s="49"/>
    </row>
    <row r="139" spans="1:20" ht="14.1" customHeight="1" x14ac:dyDescent="0.2">
      <c r="A139" s="89"/>
      <c r="B139" s="90" t="s">
        <v>108</v>
      </c>
      <c r="C139" s="72" t="s">
        <v>118</v>
      </c>
      <c r="D139" s="102">
        <v>6000</v>
      </c>
      <c r="E139" s="71"/>
      <c r="F139" s="74">
        <f t="shared" si="54"/>
        <v>6000</v>
      </c>
      <c r="G139" s="74"/>
      <c r="H139" s="74">
        <f t="shared" si="55"/>
        <v>6000</v>
      </c>
      <c r="I139" s="71">
        <v>2070</v>
      </c>
      <c r="J139" s="73">
        <v>13000</v>
      </c>
      <c r="K139" s="74">
        <v>-4423</v>
      </c>
      <c r="L139" s="74">
        <f>+K139+J139</f>
        <v>8577</v>
      </c>
      <c r="M139" s="74"/>
      <c r="N139" s="74">
        <f>+L139+M139</f>
        <v>8577</v>
      </c>
      <c r="O139" s="74">
        <v>3542</v>
      </c>
      <c r="P139" s="67">
        <v>7000</v>
      </c>
      <c r="Q139" s="87">
        <f>(P139-N139)/N139</f>
        <v>-0.18386382184913139</v>
      </c>
      <c r="R139" s="88"/>
      <c r="S139" s="156"/>
      <c r="T139" s="49"/>
    </row>
    <row r="140" spans="1:20" ht="14.1" customHeight="1" x14ac:dyDescent="0.2">
      <c r="A140" s="89"/>
      <c r="B140" s="90" t="s">
        <v>119</v>
      </c>
      <c r="C140" s="72" t="s">
        <v>110</v>
      </c>
      <c r="D140" s="102">
        <v>42320</v>
      </c>
      <c r="E140" s="71"/>
      <c r="F140" s="74">
        <f t="shared" si="54"/>
        <v>42320</v>
      </c>
      <c r="G140" s="74"/>
      <c r="H140" s="74">
        <f t="shared" si="55"/>
        <v>42320</v>
      </c>
      <c r="I140" s="71">
        <f>+I141+I142+I143+I144+I145+I146+I147+I148</f>
        <v>32408.359999999997</v>
      </c>
      <c r="J140" s="73">
        <v>50000</v>
      </c>
      <c r="K140" s="73"/>
      <c r="L140" s="74">
        <f>SUM(L141:L149)</f>
        <v>50000</v>
      </c>
      <c r="M140" s="74">
        <f t="shared" ref="M140:O140" si="58">SUM(M141:M149)</f>
        <v>0</v>
      </c>
      <c r="N140" s="74">
        <f t="shared" si="58"/>
        <v>50000</v>
      </c>
      <c r="O140" s="74">
        <f t="shared" si="58"/>
        <v>33897</v>
      </c>
      <c r="P140" s="67">
        <f t="shared" ref="P140" si="59">SUM(P141:P149)</f>
        <v>73200</v>
      </c>
      <c r="Q140" s="87">
        <f>(P140-N140)/N140</f>
        <v>0.46400000000000002</v>
      </c>
      <c r="R140" s="88" t="s">
        <v>1132</v>
      </c>
      <c r="S140" s="156"/>
      <c r="T140" s="49"/>
    </row>
    <row r="141" spans="1:20" ht="14.1" customHeight="1" x14ac:dyDescent="0.2">
      <c r="A141" s="89"/>
      <c r="B141" s="90"/>
      <c r="C141" s="154" t="s">
        <v>120</v>
      </c>
      <c r="D141" s="157">
        <v>0</v>
      </c>
      <c r="E141" s="158"/>
      <c r="F141" s="153">
        <f t="shared" si="54"/>
        <v>0</v>
      </c>
      <c r="G141" s="153"/>
      <c r="H141" s="153">
        <f t="shared" si="55"/>
        <v>0</v>
      </c>
      <c r="I141" s="153">
        <v>11263.09</v>
      </c>
      <c r="J141" s="159"/>
      <c r="K141" s="153">
        <v>0</v>
      </c>
      <c r="L141" s="153">
        <f t="shared" ref="L141:L159" si="60">+K141+J141</f>
        <v>0</v>
      </c>
      <c r="M141" s="153"/>
      <c r="N141" s="153">
        <f t="shared" ref="N141:N149" si="61">+M141+L141</f>
        <v>0</v>
      </c>
      <c r="O141" s="153">
        <v>7109</v>
      </c>
      <c r="P141" s="155">
        <v>40000</v>
      </c>
      <c r="Q141" s="87">
        <v>1</v>
      </c>
      <c r="R141" s="88" t="s">
        <v>803</v>
      </c>
      <c r="S141" s="156"/>
      <c r="T141" s="49"/>
    </row>
    <row r="142" spans="1:20" ht="14.1" customHeight="1" x14ac:dyDescent="0.2">
      <c r="A142" s="89"/>
      <c r="B142" s="90"/>
      <c r="C142" s="154" t="s">
        <v>121</v>
      </c>
      <c r="D142" s="157">
        <v>0</v>
      </c>
      <c r="E142" s="158"/>
      <c r="F142" s="153">
        <f t="shared" si="54"/>
        <v>0</v>
      </c>
      <c r="G142" s="153"/>
      <c r="H142" s="153">
        <f t="shared" si="55"/>
        <v>0</v>
      </c>
      <c r="I142" s="153">
        <v>5408.66</v>
      </c>
      <c r="J142" s="159"/>
      <c r="K142" s="153">
        <v>0</v>
      </c>
      <c r="L142" s="153">
        <f t="shared" si="60"/>
        <v>0</v>
      </c>
      <c r="M142" s="153"/>
      <c r="N142" s="153">
        <f t="shared" si="61"/>
        <v>0</v>
      </c>
      <c r="O142" s="153">
        <v>10708</v>
      </c>
      <c r="P142" s="155">
        <v>22000</v>
      </c>
      <c r="Q142" s="87">
        <v>1</v>
      </c>
      <c r="R142" s="88" t="s">
        <v>804</v>
      </c>
      <c r="S142" s="156"/>
      <c r="T142" s="49"/>
    </row>
    <row r="143" spans="1:20" ht="14.1" customHeight="1" x14ac:dyDescent="0.2">
      <c r="A143" s="89"/>
      <c r="B143" s="90"/>
      <c r="C143" s="154" t="s">
        <v>122</v>
      </c>
      <c r="D143" s="157">
        <v>0</v>
      </c>
      <c r="E143" s="158"/>
      <c r="F143" s="153">
        <f t="shared" si="54"/>
        <v>0</v>
      </c>
      <c r="G143" s="153"/>
      <c r="H143" s="153">
        <f t="shared" si="55"/>
        <v>0</v>
      </c>
      <c r="I143" s="153">
        <v>490.1</v>
      </c>
      <c r="J143" s="159"/>
      <c r="K143" s="153">
        <v>0</v>
      </c>
      <c r="L143" s="153">
        <f t="shared" si="60"/>
        <v>0</v>
      </c>
      <c r="M143" s="153"/>
      <c r="N143" s="153">
        <f t="shared" si="61"/>
        <v>0</v>
      </c>
      <c r="O143" s="153">
        <v>598</v>
      </c>
      <c r="P143" s="155">
        <v>900</v>
      </c>
      <c r="Q143" s="87">
        <v>1</v>
      </c>
      <c r="R143" s="88"/>
      <c r="S143" s="49"/>
      <c r="T143" s="49"/>
    </row>
    <row r="144" spans="1:20" ht="14.1" customHeight="1" x14ac:dyDescent="0.2">
      <c r="A144" s="89"/>
      <c r="B144" s="90"/>
      <c r="C144" s="154" t="s">
        <v>123</v>
      </c>
      <c r="D144" s="157">
        <v>0</v>
      </c>
      <c r="E144" s="158"/>
      <c r="F144" s="153">
        <f t="shared" si="54"/>
        <v>0</v>
      </c>
      <c r="G144" s="153"/>
      <c r="H144" s="153">
        <f t="shared" si="55"/>
        <v>0</v>
      </c>
      <c r="I144" s="153">
        <v>4580.82</v>
      </c>
      <c r="J144" s="159"/>
      <c r="K144" s="153">
        <v>0</v>
      </c>
      <c r="L144" s="153">
        <f t="shared" si="60"/>
        <v>0</v>
      </c>
      <c r="M144" s="153"/>
      <c r="N144" s="153">
        <f t="shared" si="61"/>
        <v>0</v>
      </c>
      <c r="O144" s="153">
        <v>2631</v>
      </c>
      <c r="P144" s="155">
        <v>3000</v>
      </c>
      <c r="Q144" s="87">
        <v>1</v>
      </c>
      <c r="R144" s="88"/>
      <c r="S144" s="49"/>
      <c r="T144" s="49"/>
    </row>
    <row r="145" spans="1:20" ht="14.1" customHeight="1" x14ac:dyDescent="0.2">
      <c r="A145" s="89"/>
      <c r="B145" s="90"/>
      <c r="C145" s="154" t="s">
        <v>124</v>
      </c>
      <c r="D145" s="157">
        <v>0</v>
      </c>
      <c r="E145" s="158"/>
      <c r="F145" s="153">
        <f t="shared" si="54"/>
        <v>0</v>
      </c>
      <c r="G145" s="153"/>
      <c r="H145" s="153">
        <f t="shared" si="55"/>
        <v>0</v>
      </c>
      <c r="I145" s="153">
        <v>4418.21</v>
      </c>
      <c r="J145" s="159"/>
      <c r="K145" s="153">
        <v>0</v>
      </c>
      <c r="L145" s="153">
        <f t="shared" si="60"/>
        <v>0</v>
      </c>
      <c r="M145" s="153"/>
      <c r="N145" s="153">
        <f t="shared" si="61"/>
        <v>0</v>
      </c>
      <c r="O145" s="153">
        <v>1118</v>
      </c>
      <c r="P145" s="155">
        <v>1500</v>
      </c>
      <c r="Q145" s="87">
        <v>1</v>
      </c>
      <c r="R145" s="88"/>
      <c r="S145" s="49"/>
      <c r="T145" s="49"/>
    </row>
    <row r="146" spans="1:20" ht="14.1" customHeight="1" x14ac:dyDescent="0.2">
      <c r="A146" s="89"/>
      <c r="B146" s="90"/>
      <c r="C146" s="154" t="s">
        <v>125</v>
      </c>
      <c r="D146" s="157">
        <v>0</v>
      </c>
      <c r="E146" s="158"/>
      <c r="F146" s="153">
        <f t="shared" si="54"/>
        <v>0</v>
      </c>
      <c r="G146" s="153"/>
      <c r="H146" s="153">
        <f t="shared" si="55"/>
        <v>0</v>
      </c>
      <c r="I146" s="153">
        <v>3028.22</v>
      </c>
      <c r="J146" s="159"/>
      <c r="K146" s="153">
        <v>0</v>
      </c>
      <c r="L146" s="153">
        <f t="shared" si="60"/>
        <v>0</v>
      </c>
      <c r="M146" s="153"/>
      <c r="N146" s="153">
        <f t="shared" si="61"/>
        <v>0</v>
      </c>
      <c r="O146" s="153">
        <v>1584</v>
      </c>
      <c r="P146" s="155">
        <v>1800</v>
      </c>
      <c r="Q146" s="87">
        <v>1</v>
      </c>
      <c r="R146" s="88"/>
      <c r="S146" s="49"/>
      <c r="T146" s="49"/>
    </row>
    <row r="147" spans="1:20" ht="14.1" customHeight="1" x14ac:dyDescent="0.2">
      <c r="A147" s="89"/>
      <c r="B147" s="90"/>
      <c r="C147" s="154" t="s">
        <v>126</v>
      </c>
      <c r="D147" s="157">
        <v>20000</v>
      </c>
      <c r="E147" s="158"/>
      <c r="F147" s="153">
        <f t="shared" si="54"/>
        <v>20000</v>
      </c>
      <c r="G147" s="153"/>
      <c r="H147" s="153">
        <f t="shared" si="55"/>
        <v>20000</v>
      </c>
      <c r="I147" s="153">
        <v>3002.3</v>
      </c>
      <c r="J147" s="159"/>
      <c r="K147" s="153">
        <v>0</v>
      </c>
      <c r="L147" s="153">
        <f t="shared" si="60"/>
        <v>0</v>
      </c>
      <c r="M147" s="153"/>
      <c r="N147" s="153">
        <f t="shared" si="61"/>
        <v>0</v>
      </c>
      <c r="O147" s="153">
        <v>8304</v>
      </c>
      <c r="P147" s="155">
        <v>2000</v>
      </c>
      <c r="Q147" s="87">
        <v>1</v>
      </c>
      <c r="R147" s="88"/>
      <c r="S147" s="49"/>
      <c r="T147" s="49"/>
    </row>
    <row r="148" spans="1:20" ht="14.1" customHeight="1" x14ac:dyDescent="0.2">
      <c r="A148" s="89"/>
      <c r="B148" s="90"/>
      <c r="C148" s="154" t="s">
        <v>127</v>
      </c>
      <c r="D148" s="157">
        <v>0</v>
      </c>
      <c r="E148" s="158"/>
      <c r="F148" s="153">
        <f t="shared" si="54"/>
        <v>0</v>
      </c>
      <c r="G148" s="153"/>
      <c r="H148" s="153">
        <f t="shared" si="55"/>
        <v>0</v>
      </c>
      <c r="I148" s="153">
        <v>216.96</v>
      </c>
      <c r="J148" s="159"/>
      <c r="K148" s="153">
        <v>0</v>
      </c>
      <c r="L148" s="153">
        <f t="shared" si="60"/>
        <v>0</v>
      </c>
      <c r="M148" s="153"/>
      <c r="N148" s="153">
        <f t="shared" si="61"/>
        <v>0</v>
      </c>
      <c r="O148" s="153">
        <v>999</v>
      </c>
      <c r="P148" s="155">
        <v>1000</v>
      </c>
      <c r="Q148" s="87">
        <v>1</v>
      </c>
      <c r="R148" s="88"/>
      <c r="S148" s="49"/>
      <c r="T148" s="49"/>
    </row>
    <row r="149" spans="1:20" ht="14.1" customHeight="1" x14ac:dyDescent="0.2">
      <c r="A149" s="89"/>
      <c r="B149" s="90"/>
      <c r="C149" s="154" t="s">
        <v>128</v>
      </c>
      <c r="D149" s="157">
        <v>0</v>
      </c>
      <c r="E149" s="158"/>
      <c r="F149" s="153">
        <f t="shared" si="54"/>
        <v>0</v>
      </c>
      <c r="G149" s="153"/>
      <c r="H149" s="153">
        <f t="shared" si="55"/>
        <v>0</v>
      </c>
      <c r="I149" s="158"/>
      <c r="J149" s="159"/>
      <c r="K149" s="153">
        <v>0</v>
      </c>
      <c r="L149" s="153">
        <v>50000</v>
      </c>
      <c r="M149" s="153"/>
      <c r="N149" s="153">
        <f t="shared" si="61"/>
        <v>50000</v>
      </c>
      <c r="O149" s="153">
        <f>191+655</f>
        <v>846</v>
      </c>
      <c r="P149" s="155">
        <v>1000</v>
      </c>
      <c r="Q149" s="87">
        <f t="shared" ref="Q149:Q236" si="62">(P149-N149)/N149</f>
        <v>-0.98</v>
      </c>
      <c r="R149" s="88"/>
      <c r="S149" s="49"/>
      <c r="T149" s="49"/>
    </row>
    <row r="150" spans="1:20" ht="14.1" customHeight="1" x14ac:dyDescent="0.2">
      <c r="A150" s="89"/>
      <c r="B150" s="90">
        <v>5512</v>
      </c>
      <c r="C150" s="72" t="s">
        <v>167</v>
      </c>
      <c r="D150" s="102"/>
      <c r="E150" s="71"/>
      <c r="F150" s="74"/>
      <c r="G150" s="74"/>
      <c r="H150" s="74"/>
      <c r="I150" s="71">
        <v>2506</v>
      </c>
      <c r="J150" s="73"/>
      <c r="K150" s="74">
        <v>0</v>
      </c>
      <c r="L150" s="74">
        <f t="shared" si="60"/>
        <v>0</v>
      </c>
      <c r="M150" s="74"/>
      <c r="N150" s="74">
        <f t="shared" ref="N150:N158" si="63">+L150+M150</f>
        <v>0</v>
      </c>
      <c r="O150" s="74">
        <v>0</v>
      </c>
      <c r="P150" s="67">
        <f>+M150+N150</f>
        <v>0</v>
      </c>
      <c r="Q150" s="87">
        <v>0</v>
      </c>
      <c r="R150" s="88"/>
      <c r="S150" s="49"/>
      <c r="T150" s="49"/>
    </row>
    <row r="151" spans="1:20" ht="14.1" customHeight="1" x14ac:dyDescent="0.2">
      <c r="A151" s="89"/>
      <c r="B151" s="90" t="s">
        <v>129</v>
      </c>
      <c r="C151" s="72" t="s">
        <v>130</v>
      </c>
      <c r="D151" s="102">
        <v>18000</v>
      </c>
      <c r="E151" s="71"/>
      <c r="F151" s="74">
        <f t="shared" ref="F151:F159" si="64">+D151+E151</f>
        <v>18000</v>
      </c>
      <c r="G151" s="74"/>
      <c r="H151" s="74">
        <f t="shared" ref="H151:H159" si="65">+F151+G151</f>
        <v>18000</v>
      </c>
      <c r="I151" s="71">
        <v>13544</v>
      </c>
      <c r="J151" s="73">
        <v>25000</v>
      </c>
      <c r="K151" s="74">
        <v>0</v>
      </c>
      <c r="L151" s="74">
        <f t="shared" si="60"/>
        <v>25000</v>
      </c>
      <c r="M151" s="74"/>
      <c r="N151" s="74">
        <f t="shared" si="63"/>
        <v>25000</v>
      </c>
      <c r="O151" s="74">
        <v>16670</v>
      </c>
      <c r="P151" s="67">
        <v>20000</v>
      </c>
      <c r="Q151" s="87">
        <f t="shared" si="62"/>
        <v>-0.2</v>
      </c>
      <c r="R151" s="88"/>
      <c r="S151" s="49"/>
      <c r="T151" s="49"/>
    </row>
    <row r="152" spans="1:20" ht="14.1" customHeight="1" x14ac:dyDescent="0.2">
      <c r="A152" s="89"/>
      <c r="B152" s="90" t="s">
        <v>131</v>
      </c>
      <c r="C152" s="72" t="s">
        <v>112</v>
      </c>
      <c r="D152" s="102">
        <v>45000</v>
      </c>
      <c r="E152" s="71"/>
      <c r="F152" s="74">
        <f t="shared" si="64"/>
        <v>45000</v>
      </c>
      <c r="G152" s="74"/>
      <c r="H152" s="74">
        <f t="shared" si="65"/>
        <v>45000</v>
      </c>
      <c r="I152" s="160">
        <v>30503</v>
      </c>
      <c r="J152" s="73">
        <v>45000</v>
      </c>
      <c r="K152" s="74">
        <v>-5000</v>
      </c>
      <c r="L152" s="74">
        <f t="shared" si="60"/>
        <v>40000</v>
      </c>
      <c r="M152" s="74"/>
      <c r="N152" s="74">
        <f t="shared" si="63"/>
        <v>40000</v>
      </c>
      <c r="O152" s="74">
        <v>44204</v>
      </c>
      <c r="P152" s="67">
        <v>50000</v>
      </c>
      <c r="Q152" s="87">
        <f t="shared" si="62"/>
        <v>0.25</v>
      </c>
      <c r="R152" s="88"/>
      <c r="S152" s="49"/>
      <c r="T152" s="49"/>
    </row>
    <row r="153" spans="1:20" ht="14.1" customHeight="1" x14ac:dyDescent="0.2">
      <c r="A153" s="89"/>
      <c r="B153" s="90" t="s">
        <v>132</v>
      </c>
      <c r="C153" s="72" t="s">
        <v>133</v>
      </c>
      <c r="D153" s="102">
        <v>20000</v>
      </c>
      <c r="E153" s="71"/>
      <c r="F153" s="74">
        <f t="shared" si="64"/>
        <v>20000</v>
      </c>
      <c r="G153" s="74"/>
      <c r="H153" s="74">
        <f t="shared" si="65"/>
        <v>20000</v>
      </c>
      <c r="I153" s="160">
        <v>18662</v>
      </c>
      <c r="J153" s="73">
        <v>10000</v>
      </c>
      <c r="K153" s="74">
        <v>0</v>
      </c>
      <c r="L153" s="74">
        <f t="shared" si="60"/>
        <v>10000</v>
      </c>
      <c r="M153" s="92">
        <v>12000</v>
      </c>
      <c r="N153" s="74">
        <f t="shared" si="63"/>
        <v>22000</v>
      </c>
      <c r="O153" s="74">
        <v>22047</v>
      </c>
      <c r="P153" s="67">
        <v>20000</v>
      </c>
      <c r="Q153" s="87">
        <f t="shared" si="62"/>
        <v>-9.0909090909090912E-2</v>
      </c>
      <c r="R153" s="88"/>
      <c r="S153" s="49"/>
      <c r="T153" s="49"/>
    </row>
    <row r="154" spans="1:20" ht="14.1" customHeight="1" x14ac:dyDescent="0.2">
      <c r="A154" s="89"/>
      <c r="B154" s="90" t="s">
        <v>134</v>
      </c>
      <c r="C154" s="72" t="s">
        <v>135</v>
      </c>
      <c r="D154" s="102">
        <v>1500</v>
      </c>
      <c r="E154" s="71"/>
      <c r="F154" s="74">
        <f t="shared" si="64"/>
        <v>1500</v>
      </c>
      <c r="G154" s="74"/>
      <c r="H154" s="74">
        <f t="shared" si="65"/>
        <v>1500</v>
      </c>
      <c r="I154" s="160">
        <v>846</v>
      </c>
      <c r="J154" s="73">
        <v>1500</v>
      </c>
      <c r="K154" s="74">
        <v>0</v>
      </c>
      <c r="L154" s="74">
        <f t="shared" si="60"/>
        <v>1500</v>
      </c>
      <c r="M154" s="74"/>
      <c r="N154" s="74">
        <f t="shared" si="63"/>
        <v>1500</v>
      </c>
      <c r="O154" s="74">
        <v>885</v>
      </c>
      <c r="P154" s="67">
        <v>1500</v>
      </c>
      <c r="Q154" s="87">
        <f t="shared" si="62"/>
        <v>0</v>
      </c>
      <c r="R154" s="88"/>
      <c r="S154" s="49"/>
      <c r="T154" s="49"/>
    </row>
    <row r="155" spans="1:20" ht="14.1" customHeight="1" x14ac:dyDescent="0.2">
      <c r="A155" s="89"/>
      <c r="B155" s="90">
        <v>5521</v>
      </c>
      <c r="C155" s="72" t="s">
        <v>647</v>
      </c>
      <c r="D155" s="102"/>
      <c r="E155" s="71"/>
      <c r="F155" s="74"/>
      <c r="G155" s="74"/>
      <c r="H155" s="74"/>
      <c r="I155" s="160"/>
      <c r="J155" s="73"/>
      <c r="K155" s="74"/>
      <c r="L155" s="74"/>
      <c r="M155" s="92">
        <v>1657</v>
      </c>
      <c r="N155" s="74">
        <f t="shared" si="63"/>
        <v>1657</v>
      </c>
      <c r="O155" s="74">
        <v>1657</v>
      </c>
      <c r="P155" s="67">
        <v>0</v>
      </c>
      <c r="Q155" s="87">
        <f t="shared" si="62"/>
        <v>-1</v>
      </c>
      <c r="R155" s="88"/>
      <c r="S155" s="49"/>
      <c r="T155" s="49"/>
    </row>
    <row r="156" spans="1:20" ht="14.1" customHeight="1" x14ac:dyDescent="0.2">
      <c r="A156" s="89"/>
      <c r="B156" s="90" t="s">
        <v>136</v>
      </c>
      <c r="C156" s="72" t="s">
        <v>137</v>
      </c>
      <c r="D156" s="102">
        <v>1000</v>
      </c>
      <c r="E156" s="71"/>
      <c r="F156" s="74">
        <f t="shared" si="64"/>
        <v>1000</v>
      </c>
      <c r="G156" s="74"/>
      <c r="H156" s="74">
        <f t="shared" si="65"/>
        <v>1000</v>
      </c>
      <c r="I156" s="125">
        <v>2299</v>
      </c>
      <c r="J156" s="73">
        <v>2000</v>
      </c>
      <c r="K156" s="74">
        <v>0</v>
      </c>
      <c r="L156" s="74">
        <f t="shared" si="60"/>
        <v>2000</v>
      </c>
      <c r="M156" s="92">
        <v>4999</v>
      </c>
      <c r="N156" s="74">
        <f t="shared" si="63"/>
        <v>6999</v>
      </c>
      <c r="O156" s="74">
        <v>6063</v>
      </c>
      <c r="P156" s="67">
        <v>1900</v>
      </c>
      <c r="Q156" s="87">
        <f t="shared" si="62"/>
        <v>-0.72853264752107449</v>
      </c>
      <c r="R156" s="49" t="s">
        <v>1405</v>
      </c>
      <c r="T156" s="49"/>
    </row>
    <row r="157" spans="1:20" ht="14.1" customHeight="1" x14ac:dyDescent="0.2">
      <c r="A157" s="89"/>
      <c r="B157" s="90" t="s">
        <v>138</v>
      </c>
      <c r="C157" s="72" t="s">
        <v>139</v>
      </c>
      <c r="D157" s="102">
        <v>300</v>
      </c>
      <c r="E157" s="71"/>
      <c r="F157" s="74">
        <f t="shared" si="64"/>
        <v>300</v>
      </c>
      <c r="G157" s="74"/>
      <c r="H157" s="74">
        <f t="shared" si="65"/>
        <v>300</v>
      </c>
      <c r="I157" s="125">
        <v>48</v>
      </c>
      <c r="J157" s="73">
        <v>300</v>
      </c>
      <c r="K157" s="74">
        <v>-300</v>
      </c>
      <c r="L157" s="74">
        <f t="shared" si="60"/>
        <v>0</v>
      </c>
      <c r="M157" s="74"/>
      <c r="N157" s="74">
        <f t="shared" si="63"/>
        <v>0</v>
      </c>
      <c r="O157" s="74"/>
      <c r="P157" s="67">
        <v>0</v>
      </c>
      <c r="Q157" s="87">
        <v>0</v>
      </c>
      <c r="R157" s="88"/>
      <c r="S157" s="49"/>
      <c r="T157" s="49"/>
    </row>
    <row r="158" spans="1:20" ht="14.1" customHeight="1" x14ac:dyDescent="0.2">
      <c r="A158" s="89"/>
      <c r="B158" s="90">
        <v>5540</v>
      </c>
      <c r="C158" s="72" t="s">
        <v>205</v>
      </c>
      <c r="D158" s="102">
        <v>0</v>
      </c>
      <c r="E158" s="71"/>
      <c r="F158" s="74">
        <f t="shared" si="64"/>
        <v>0</v>
      </c>
      <c r="G158" s="74"/>
      <c r="H158" s="74">
        <f t="shared" si="65"/>
        <v>0</v>
      </c>
      <c r="I158" s="71"/>
      <c r="J158" s="73">
        <v>0</v>
      </c>
      <c r="K158" s="74">
        <v>0</v>
      </c>
      <c r="L158" s="74">
        <f t="shared" si="60"/>
        <v>0</v>
      </c>
      <c r="M158" s="92">
        <v>20000</v>
      </c>
      <c r="N158" s="74">
        <f t="shared" si="63"/>
        <v>20000</v>
      </c>
      <c r="O158" s="74">
        <v>532</v>
      </c>
      <c r="P158" s="67">
        <v>1000</v>
      </c>
      <c r="Q158" s="87">
        <f t="shared" si="62"/>
        <v>-0.95</v>
      </c>
      <c r="R158" s="88"/>
      <c r="S158" s="49"/>
      <c r="T158" s="49"/>
    </row>
    <row r="159" spans="1:20" ht="14.1" customHeight="1" x14ac:dyDescent="0.2">
      <c r="A159" s="94"/>
      <c r="B159" s="95">
        <v>60</v>
      </c>
      <c r="C159" s="96" t="s">
        <v>616</v>
      </c>
      <c r="D159" s="43">
        <v>5000</v>
      </c>
      <c r="E159" s="71"/>
      <c r="F159" s="74">
        <f t="shared" si="64"/>
        <v>5000</v>
      </c>
      <c r="G159" s="74"/>
      <c r="H159" s="74">
        <f t="shared" si="65"/>
        <v>5000</v>
      </c>
      <c r="I159" s="71">
        <v>1724</v>
      </c>
      <c r="J159" s="73">
        <v>5000</v>
      </c>
      <c r="K159" s="74">
        <v>0</v>
      </c>
      <c r="L159" s="142">
        <f t="shared" si="60"/>
        <v>5000</v>
      </c>
      <c r="M159" s="142"/>
      <c r="N159" s="142">
        <f t="shared" ref="N159:N161" si="66">+M159+L159</f>
        <v>5000</v>
      </c>
      <c r="O159" s="142">
        <v>1759</v>
      </c>
      <c r="P159" s="142">
        <v>1000</v>
      </c>
      <c r="Q159" s="87">
        <f t="shared" si="62"/>
        <v>-0.8</v>
      </c>
      <c r="R159" s="88"/>
      <c r="S159" s="49"/>
      <c r="T159" s="49"/>
    </row>
    <row r="160" spans="1:20" ht="14.1" customHeight="1" x14ac:dyDescent="0.2">
      <c r="A160" s="146" t="s">
        <v>141</v>
      </c>
      <c r="B160" s="147"/>
      <c r="C160" s="148" t="s">
        <v>142</v>
      </c>
      <c r="D160" s="149">
        <v>130000</v>
      </c>
      <c r="E160" s="151">
        <f>+E161</f>
        <v>-65404</v>
      </c>
      <c r="F160" s="137">
        <f>+E160+D160</f>
        <v>64596</v>
      </c>
      <c r="G160" s="137">
        <f>+G161</f>
        <v>-39040</v>
      </c>
      <c r="H160" s="137">
        <f>+H161</f>
        <v>25556</v>
      </c>
      <c r="I160" s="151">
        <f>+I161</f>
        <v>0</v>
      </c>
      <c r="J160" s="152">
        <f>+J161</f>
        <v>130000</v>
      </c>
      <c r="K160" s="137">
        <v>0</v>
      </c>
      <c r="L160" s="137">
        <f>+L161</f>
        <v>130000</v>
      </c>
      <c r="M160" s="137">
        <f t="shared" ref="M160:P160" si="67">+M161</f>
        <v>-27009</v>
      </c>
      <c r="N160" s="137">
        <f t="shared" si="67"/>
        <v>102991</v>
      </c>
      <c r="O160" s="137">
        <f t="shared" si="67"/>
        <v>54527</v>
      </c>
      <c r="P160" s="137">
        <f t="shared" si="67"/>
        <v>130000</v>
      </c>
      <c r="Q160" s="87">
        <f t="shared" si="62"/>
        <v>0.26224621568874951</v>
      </c>
      <c r="R160" s="88"/>
      <c r="S160" s="49"/>
      <c r="T160" s="49"/>
    </row>
    <row r="161" spans="1:20" ht="14.1" customHeight="1" x14ac:dyDescent="0.2">
      <c r="A161" s="89"/>
      <c r="B161" s="90" t="s">
        <v>101</v>
      </c>
      <c r="C161" s="72" t="s">
        <v>143</v>
      </c>
      <c r="D161" s="102">
        <v>130000</v>
      </c>
      <c r="E161" s="71">
        <v>-65404</v>
      </c>
      <c r="F161" s="74">
        <f>D161+E161</f>
        <v>64596</v>
      </c>
      <c r="G161" s="74">
        <v>-39040</v>
      </c>
      <c r="H161" s="74">
        <f>+G161+F161</f>
        <v>25556</v>
      </c>
      <c r="I161" s="160">
        <v>0</v>
      </c>
      <c r="J161" s="73">
        <v>130000</v>
      </c>
      <c r="K161" s="74">
        <v>0</v>
      </c>
      <c r="L161" s="142">
        <v>130000</v>
      </c>
      <c r="M161" s="92">
        <v>-27009</v>
      </c>
      <c r="N161" s="142">
        <f t="shared" si="66"/>
        <v>102991</v>
      </c>
      <c r="O161" s="142">
        <v>54527</v>
      </c>
      <c r="P161" s="142">
        <v>130000</v>
      </c>
      <c r="Q161" s="87">
        <f t="shared" si="62"/>
        <v>0.26224621568874951</v>
      </c>
      <c r="R161" s="88"/>
      <c r="S161" s="49"/>
      <c r="T161" s="49"/>
    </row>
    <row r="162" spans="1:20" ht="14.1" customHeight="1" x14ac:dyDescent="0.2">
      <c r="A162" s="146" t="s">
        <v>144</v>
      </c>
      <c r="B162" s="161">
        <v>1330</v>
      </c>
      <c r="C162" s="148" t="s">
        <v>145</v>
      </c>
      <c r="D162" s="149">
        <v>26400</v>
      </c>
      <c r="E162" s="151">
        <f>+E163+E164</f>
        <v>0</v>
      </c>
      <c r="F162" s="137">
        <f>+E162+D162</f>
        <v>26400</v>
      </c>
      <c r="G162" s="137">
        <f>+G163+G164</f>
        <v>0</v>
      </c>
      <c r="H162" s="137">
        <f>+H163+H164</f>
        <v>26400</v>
      </c>
      <c r="I162" s="150">
        <v>0</v>
      </c>
      <c r="J162" s="162">
        <v>0</v>
      </c>
      <c r="K162" s="163">
        <v>0</v>
      </c>
      <c r="L162" s="163">
        <v>0</v>
      </c>
      <c r="M162" s="163">
        <v>0</v>
      </c>
      <c r="N162" s="163">
        <f>+N163+N164</f>
        <v>0</v>
      </c>
      <c r="O162" s="163"/>
      <c r="P162" s="137">
        <f>+P163+P164</f>
        <v>22000</v>
      </c>
      <c r="Q162" s="87" t="e">
        <f t="shared" si="62"/>
        <v>#DIV/0!</v>
      </c>
      <c r="R162" s="88"/>
    </row>
    <row r="163" spans="1:20" ht="14.1" customHeight="1" x14ac:dyDescent="0.2">
      <c r="A163" s="94"/>
      <c r="B163" s="90" t="s">
        <v>101</v>
      </c>
      <c r="C163" s="72" t="s">
        <v>146</v>
      </c>
      <c r="D163" s="43">
        <v>22000</v>
      </c>
      <c r="E163" s="71"/>
      <c r="F163" s="74">
        <f>+E163+D163</f>
        <v>22000</v>
      </c>
      <c r="G163" s="74"/>
      <c r="H163" s="74">
        <v>22000</v>
      </c>
      <c r="I163" s="71">
        <v>21993</v>
      </c>
      <c r="J163" s="73">
        <v>0</v>
      </c>
      <c r="K163" s="74">
        <v>0</v>
      </c>
      <c r="L163" s="140">
        <v>0</v>
      </c>
      <c r="M163" s="140"/>
      <c r="N163" s="140">
        <f t="shared" ref="N163:N164" si="68">+L163+M163</f>
        <v>0</v>
      </c>
      <c r="O163" s="140"/>
      <c r="P163" s="140">
        <v>20000</v>
      </c>
      <c r="Q163" s="87" t="e">
        <f t="shared" si="62"/>
        <v>#DIV/0!</v>
      </c>
      <c r="R163" s="107" t="s">
        <v>805</v>
      </c>
    </row>
    <row r="164" spans="1:20" ht="14.1" customHeight="1" x14ac:dyDescent="0.2">
      <c r="A164" s="89"/>
      <c r="B164" s="90">
        <v>55</v>
      </c>
      <c r="C164" s="72" t="s">
        <v>148</v>
      </c>
      <c r="D164" s="43">
        <v>4400</v>
      </c>
      <c r="E164" s="71"/>
      <c r="F164" s="74">
        <f>+E164+D164</f>
        <v>4400</v>
      </c>
      <c r="G164" s="74"/>
      <c r="H164" s="74">
        <v>4400</v>
      </c>
      <c r="I164" s="71">
        <v>1491</v>
      </c>
      <c r="J164" s="73">
        <v>0</v>
      </c>
      <c r="K164" s="74">
        <v>0</v>
      </c>
      <c r="L164" s="141">
        <v>0</v>
      </c>
      <c r="M164" s="141"/>
      <c r="N164" s="141">
        <f t="shared" si="68"/>
        <v>0</v>
      </c>
      <c r="O164" s="141"/>
      <c r="P164" s="141">
        <v>2000</v>
      </c>
      <c r="Q164" s="87" t="e">
        <f t="shared" si="62"/>
        <v>#DIV/0!</v>
      </c>
      <c r="R164" s="107"/>
    </row>
    <row r="165" spans="1:20" ht="14.1" customHeight="1" x14ac:dyDescent="0.2">
      <c r="A165" s="164" t="s">
        <v>149</v>
      </c>
      <c r="B165" s="147"/>
      <c r="C165" s="148" t="s">
        <v>150</v>
      </c>
      <c r="D165" s="149">
        <v>50000</v>
      </c>
      <c r="E165" s="150"/>
      <c r="F165" s="137">
        <f>+E165+D165</f>
        <v>50000</v>
      </c>
      <c r="G165" s="137">
        <f t="shared" ref="G165:P165" si="69">+G166</f>
        <v>9200</v>
      </c>
      <c r="H165" s="137">
        <f t="shared" si="69"/>
        <v>59200</v>
      </c>
      <c r="I165" s="151">
        <f t="shared" si="69"/>
        <v>55228</v>
      </c>
      <c r="J165" s="152">
        <f t="shared" si="69"/>
        <v>53000</v>
      </c>
      <c r="K165" s="137">
        <f>+K166</f>
        <v>13430</v>
      </c>
      <c r="L165" s="137">
        <f t="shared" si="69"/>
        <v>66430</v>
      </c>
      <c r="M165" s="137">
        <f t="shared" si="69"/>
        <v>0</v>
      </c>
      <c r="N165" s="137">
        <f t="shared" si="69"/>
        <v>66430</v>
      </c>
      <c r="O165" s="137">
        <f t="shared" si="69"/>
        <v>60690</v>
      </c>
      <c r="P165" s="137">
        <f t="shared" si="69"/>
        <v>68843</v>
      </c>
      <c r="Q165" s="87">
        <f t="shared" si="62"/>
        <v>3.6323950022580161E-2</v>
      </c>
      <c r="R165" s="88" t="s">
        <v>1139</v>
      </c>
    </row>
    <row r="166" spans="1:20" ht="14.1" customHeight="1" x14ac:dyDescent="0.2">
      <c r="A166" s="89"/>
      <c r="B166" s="90">
        <v>452</v>
      </c>
      <c r="C166" s="72" t="s">
        <v>151</v>
      </c>
      <c r="D166" s="102">
        <v>50000</v>
      </c>
      <c r="E166" s="71"/>
      <c r="F166" s="74">
        <v>50000</v>
      </c>
      <c r="G166" s="74">
        <v>9200</v>
      </c>
      <c r="H166" s="74">
        <f>+G166+F166</f>
        <v>59200</v>
      </c>
      <c r="I166" s="71">
        <v>55228</v>
      </c>
      <c r="J166" s="73">
        <v>53000</v>
      </c>
      <c r="K166" s="74">
        <v>13430</v>
      </c>
      <c r="L166" s="142">
        <f>+K166+J166</f>
        <v>66430</v>
      </c>
      <c r="M166" s="142"/>
      <c r="N166" s="142">
        <f t="shared" ref="N166" si="70">+M166+L166</f>
        <v>66430</v>
      </c>
      <c r="O166" s="142">
        <v>60690</v>
      </c>
      <c r="P166" s="142">
        <f>26600+10000+25530+5700+903+110</f>
        <v>68843</v>
      </c>
      <c r="Q166" s="87">
        <f t="shared" si="62"/>
        <v>3.6323950022580161E-2</v>
      </c>
      <c r="R166" s="111" t="s">
        <v>1220</v>
      </c>
    </row>
    <row r="167" spans="1:20" ht="13.5" customHeight="1" x14ac:dyDescent="0.2">
      <c r="A167" s="79" t="s">
        <v>152</v>
      </c>
      <c r="B167" s="165"/>
      <c r="C167" s="81" t="s">
        <v>153</v>
      </c>
      <c r="D167" s="82">
        <v>0</v>
      </c>
      <c r="E167" s="134"/>
      <c r="F167" s="86">
        <f>+E167+D167</f>
        <v>0</v>
      </c>
      <c r="G167" s="86">
        <v>0</v>
      </c>
      <c r="H167" s="86">
        <v>0</v>
      </c>
      <c r="I167" s="134">
        <v>0</v>
      </c>
      <c r="J167" s="135">
        <f>+J173</f>
        <v>0</v>
      </c>
      <c r="K167" s="135">
        <f t="shared" ref="K167:P167" si="71">+K173</f>
        <v>0</v>
      </c>
      <c r="L167" s="135">
        <f>+L173</f>
        <v>0</v>
      </c>
      <c r="M167" s="135">
        <f t="shared" si="71"/>
        <v>0</v>
      </c>
      <c r="N167" s="135">
        <f>+N173</f>
        <v>0</v>
      </c>
      <c r="O167" s="135"/>
      <c r="P167" s="135">
        <f t="shared" si="71"/>
        <v>0</v>
      </c>
      <c r="Q167" s="87"/>
    </row>
    <row r="168" spans="1:20" ht="13.5" hidden="1" customHeight="1" x14ac:dyDescent="0.2">
      <c r="A168" s="137"/>
      <c r="B168" s="137"/>
      <c r="C168" s="137" t="s">
        <v>1040</v>
      </c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>
        <f>N170+N171+N169+N172</f>
        <v>0</v>
      </c>
      <c r="O168" s="137"/>
      <c r="P168" s="78">
        <f>P170+P171+P169+P172</f>
        <v>0</v>
      </c>
      <c r="Q168" s="87"/>
      <c r="R168" s="88"/>
    </row>
    <row r="169" spans="1:20" ht="0.75" customHeight="1" x14ac:dyDescent="0.2">
      <c r="A169" s="139"/>
      <c r="B169" s="139">
        <v>45</v>
      </c>
      <c r="C169" s="139" t="s">
        <v>1041</v>
      </c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>
        <v>0</v>
      </c>
      <c r="O169" s="139"/>
      <c r="P169" s="78">
        <v>0</v>
      </c>
      <c r="Q169" s="87"/>
      <c r="R169" s="88"/>
    </row>
    <row r="170" spans="1:20" ht="13.5" hidden="1" customHeight="1" x14ac:dyDescent="0.2">
      <c r="A170" s="140"/>
      <c r="B170" s="140">
        <v>50</v>
      </c>
      <c r="C170" s="140" t="s">
        <v>1042</v>
      </c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>
        <v>0</v>
      </c>
      <c r="O170" s="140"/>
      <c r="P170" s="67">
        <v>0</v>
      </c>
      <c r="Q170" s="87"/>
      <c r="R170" s="88"/>
    </row>
    <row r="171" spans="1:20" ht="13.5" hidden="1" customHeight="1" x14ac:dyDescent="0.2">
      <c r="A171" s="141"/>
      <c r="B171" s="141">
        <v>55</v>
      </c>
      <c r="C171" s="141" t="s">
        <v>1050</v>
      </c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>
        <f>N174</f>
        <v>0</v>
      </c>
      <c r="O171" s="141"/>
      <c r="P171" s="67">
        <f>P174</f>
        <v>0</v>
      </c>
      <c r="Q171" s="87"/>
      <c r="R171" s="88"/>
    </row>
    <row r="172" spans="1:20" ht="13.5" hidden="1" customHeight="1" x14ac:dyDescent="0.2">
      <c r="A172" s="142"/>
      <c r="B172" s="142">
        <v>60</v>
      </c>
      <c r="C172" s="142" t="s">
        <v>1043</v>
      </c>
      <c r="D172" s="145"/>
      <c r="E172" s="142"/>
      <c r="F172" s="142"/>
      <c r="G172" s="142"/>
      <c r="H172" s="142"/>
      <c r="I172" s="142"/>
      <c r="J172" s="145"/>
      <c r="K172" s="142"/>
      <c r="L172" s="142"/>
      <c r="M172" s="142"/>
      <c r="N172" s="142">
        <v>0</v>
      </c>
      <c r="O172" s="142"/>
      <c r="P172" s="67">
        <v>0</v>
      </c>
      <c r="Q172" s="87"/>
      <c r="R172" s="88"/>
    </row>
    <row r="173" spans="1:20" ht="14.1" customHeight="1" x14ac:dyDescent="0.2">
      <c r="A173" s="146" t="s">
        <v>154</v>
      </c>
      <c r="B173" s="147"/>
      <c r="C173" s="148" t="s">
        <v>155</v>
      </c>
      <c r="D173" s="149">
        <v>0</v>
      </c>
      <c r="E173" s="150"/>
      <c r="F173" s="163"/>
      <c r="G173" s="163"/>
      <c r="H173" s="163"/>
      <c r="I173" s="150">
        <v>0</v>
      </c>
      <c r="J173" s="162">
        <f>+J174</f>
        <v>0</v>
      </c>
      <c r="K173" s="162">
        <f t="shared" ref="K173:M173" si="72">+K174</f>
        <v>0</v>
      </c>
      <c r="L173" s="162">
        <f t="shared" si="72"/>
        <v>0</v>
      </c>
      <c r="M173" s="162">
        <f t="shared" si="72"/>
        <v>0</v>
      </c>
      <c r="N173" s="162">
        <f>+N174</f>
        <v>0</v>
      </c>
      <c r="O173" s="162"/>
      <c r="P173" s="152">
        <f>+P174</f>
        <v>0</v>
      </c>
      <c r="Q173" s="87"/>
      <c r="R173" s="88"/>
    </row>
    <row r="174" spans="1:20" ht="14.1" customHeight="1" x14ac:dyDescent="0.2">
      <c r="A174" s="89"/>
      <c r="B174" s="90">
        <v>5515</v>
      </c>
      <c r="C174" s="96" t="s">
        <v>104</v>
      </c>
      <c r="D174" s="43">
        <v>0</v>
      </c>
      <c r="E174" s="71"/>
      <c r="F174" s="72"/>
      <c r="G174" s="72"/>
      <c r="H174" s="72"/>
      <c r="I174" s="71"/>
      <c r="J174" s="73">
        <v>0</v>
      </c>
      <c r="K174" s="73"/>
      <c r="L174" s="166"/>
      <c r="M174" s="166"/>
      <c r="N174" s="141">
        <f t="shared" ref="N174" si="73">+L174+M174</f>
        <v>0</v>
      </c>
      <c r="O174" s="141"/>
      <c r="P174" s="141">
        <f>+M174+N174</f>
        <v>0</v>
      </c>
      <c r="Q174" s="87"/>
      <c r="R174" s="88"/>
    </row>
    <row r="175" spans="1:20" ht="14.1" customHeight="1" x14ac:dyDescent="0.2">
      <c r="A175" s="79" t="s">
        <v>156</v>
      </c>
      <c r="B175" s="80"/>
      <c r="C175" s="81" t="s">
        <v>157</v>
      </c>
      <c r="D175" s="82">
        <v>7000</v>
      </c>
      <c r="E175" s="134"/>
      <c r="F175" s="86">
        <f>+E175+D175</f>
        <v>7000</v>
      </c>
      <c r="G175" s="86">
        <f t="shared" ref="G175:J175" si="74">+G181</f>
        <v>-5000</v>
      </c>
      <c r="H175" s="86">
        <f t="shared" si="74"/>
        <v>2000</v>
      </c>
      <c r="I175" s="83">
        <f t="shared" si="74"/>
        <v>702</v>
      </c>
      <c r="J175" s="85">
        <f t="shared" si="74"/>
        <v>5000</v>
      </c>
      <c r="K175" s="86">
        <v>0</v>
      </c>
      <c r="L175" s="86">
        <f>+L181</f>
        <v>5000</v>
      </c>
      <c r="M175" s="86">
        <f t="shared" ref="M175:P175" si="75">+M181</f>
        <v>5000</v>
      </c>
      <c r="N175" s="86">
        <f t="shared" si="75"/>
        <v>10000</v>
      </c>
      <c r="O175" s="86">
        <f t="shared" ref="O175" si="76">+O181</f>
        <v>2607</v>
      </c>
      <c r="P175" s="86">
        <f t="shared" si="75"/>
        <v>4515</v>
      </c>
      <c r="Q175" s="87">
        <f t="shared" si="62"/>
        <v>-0.54849999999999999</v>
      </c>
      <c r="R175" s="88"/>
    </row>
    <row r="176" spans="1:20" ht="14.1" customHeight="1" x14ac:dyDescent="0.2">
      <c r="A176" s="137"/>
      <c r="B176" s="137"/>
      <c r="C176" s="137" t="s">
        <v>1044</v>
      </c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>
        <f>N178+N179+N177+N180</f>
        <v>10000</v>
      </c>
      <c r="O176" s="137">
        <f>O178+O179+O177+O180</f>
        <v>2607</v>
      </c>
      <c r="P176" s="137">
        <f>P178+P179+P177+P180</f>
        <v>4515</v>
      </c>
      <c r="Q176" s="87">
        <f t="shared" si="62"/>
        <v>-0.54849999999999999</v>
      </c>
      <c r="R176" s="88"/>
    </row>
    <row r="177" spans="1:25" ht="14.1" customHeight="1" x14ac:dyDescent="0.2">
      <c r="A177" s="139"/>
      <c r="B177" s="139">
        <v>45</v>
      </c>
      <c r="C177" s="139" t="s">
        <v>1046</v>
      </c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>
        <f>N182</f>
        <v>6500</v>
      </c>
      <c r="O177" s="139">
        <f>O182</f>
        <v>0</v>
      </c>
      <c r="P177" s="139">
        <f>P182</f>
        <v>1500</v>
      </c>
      <c r="Q177" s="87">
        <f t="shared" si="62"/>
        <v>-0.76923076923076927</v>
      </c>
      <c r="R177" s="88"/>
    </row>
    <row r="178" spans="1:25" ht="14.1" customHeight="1" x14ac:dyDescent="0.2">
      <c r="A178" s="140"/>
      <c r="B178" s="140">
        <v>50</v>
      </c>
      <c r="C178" s="140" t="s">
        <v>1047</v>
      </c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>
        <v>0</v>
      </c>
      <c r="O178" s="140">
        <v>0</v>
      </c>
      <c r="P178" s="140">
        <v>0</v>
      </c>
      <c r="Q178" s="87"/>
      <c r="R178" s="88"/>
    </row>
    <row r="179" spans="1:25" ht="14.1" customHeight="1" x14ac:dyDescent="0.2">
      <c r="A179" s="141"/>
      <c r="B179" s="141">
        <v>55</v>
      </c>
      <c r="C179" s="141" t="s">
        <v>1049</v>
      </c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>
        <f>N183</f>
        <v>3500</v>
      </c>
      <c r="O179" s="141">
        <f>O183</f>
        <v>2607</v>
      </c>
      <c r="P179" s="141">
        <f>P183</f>
        <v>3015</v>
      </c>
      <c r="Q179" s="87">
        <f t="shared" si="62"/>
        <v>-0.13857142857142857</v>
      </c>
      <c r="R179" s="88"/>
    </row>
    <row r="180" spans="1:25" ht="14.1" customHeight="1" x14ac:dyDescent="0.2">
      <c r="A180" s="142"/>
      <c r="B180" s="142">
        <v>60</v>
      </c>
      <c r="C180" s="142" t="s">
        <v>1048</v>
      </c>
      <c r="D180" s="145"/>
      <c r="E180" s="142"/>
      <c r="F180" s="142"/>
      <c r="G180" s="142"/>
      <c r="H180" s="142"/>
      <c r="I180" s="142"/>
      <c r="J180" s="145"/>
      <c r="K180" s="142"/>
      <c r="L180" s="142"/>
      <c r="M180" s="142"/>
      <c r="N180" s="142">
        <v>0</v>
      </c>
      <c r="O180" s="142">
        <v>0</v>
      </c>
      <c r="P180" s="142">
        <v>0</v>
      </c>
      <c r="Q180" s="87"/>
      <c r="R180" s="88"/>
    </row>
    <row r="181" spans="1:25" s="167" customFormat="1" ht="14.1" customHeight="1" x14ac:dyDescent="0.2">
      <c r="A181" s="146">
        <v>3200</v>
      </c>
      <c r="B181" s="147">
        <v>55</v>
      </c>
      <c r="C181" s="148" t="s">
        <v>158</v>
      </c>
      <c r="D181" s="149">
        <v>7000</v>
      </c>
      <c r="E181" s="150"/>
      <c r="F181" s="163">
        <f>+E181+D181</f>
        <v>7000</v>
      </c>
      <c r="G181" s="163">
        <f>+G183</f>
        <v>-5000</v>
      </c>
      <c r="H181" s="163">
        <f>+H183</f>
        <v>2000</v>
      </c>
      <c r="I181" s="151">
        <f>+I183</f>
        <v>702</v>
      </c>
      <c r="J181" s="152">
        <f>+J183</f>
        <v>5000</v>
      </c>
      <c r="K181" s="137">
        <v>0</v>
      </c>
      <c r="L181" s="137">
        <f>+L183+L182</f>
        <v>5000</v>
      </c>
      <c r="M181" s="137">
        <f t="shared" ref="M181:N181" si="77">+M183+M182</f>
        <v>5000</v>
      </c>
      <c r="N181" s="137">
        <f t="shared" si="77"/>
        <v>10000</v>
      </c>
      <c r="O181" s="137">
        <f t="shared" ref="O181" si="78">+O183+O182</f>
        <v>2607</v>
      </c>
      <c r="P181" s="137">
        <f t="shared" ref="P181" si="79">+P183+P182</f>
        <v>4515</v>
      </c>
      <c r="Q181" s="87">
        <f t="shared" si="62"/>
        <v>-0.54849999999999999</v>
      </c>
      <c r="R181" s="88" t="s">
        <v>1045</v>
      </c>
      <c r="S181" s="56"/>
      <c r="T181" s="56"/>
      <c r="U181" s="56"/>
      <c r="V181" s="56"/>
      <c r="W181" s="56"/>
      <c r="X181" s="56"/>
      <c r="Y181" s="56"/>
    </row>
    <row r="182" spans="1:25" s="167" customFormat="1" ht="14.1" customHeight="1" x14ac:dyDescent="0.2">
      <c r="A182" s="94"/>
      <c r="B182" s="95">
        <v>452</v>
      </c>
      <c r="C182" s="96" t="s">
        <v>648</v>
      </c>
      <c r="D182" s="43"/>
      <c r="E182" s="71"/>
      <c r="F182" s="74"/>
      <c r="G182" s="74"/>
      <c r="H182" s="74"/>
      <c r="I182" s="97"/>
      <c r="J182" s="99"/>
      <c r="K182" s="98"/>
      <c r="L182" s="139">
        <v>1500</v>
      </c>
      <c r="M182" s="109">
        <v>5000</v>
      </c>
      <c r="N182" s="142">
        <f>+L182+M182</f>
        <v>6500</v>
      </c>
      <c r="O182" s="142">
        <v>0</v>
      </c>
      <c r="P182" s="142">
        <v>1500</v>
      </c>
      <c r="Q182" s="87">
        <f t="shared" si="62"/>
        <v>-0.76923076923076927</v>
      </c>
      <c r="R182" s="56" t="s">
        <v>806</v>
      </c>
      <c r="S182" s="56"/>
      <c r="U182" s="56"/>
      <c r="V182" s="56"/>
      <c r="W182" s="56"/>
      <c r="X182" s="56"/>
      <c r="Y182" s="56"/>
    </row>
    <row r="183" spans="1:25" ht="14.1" customHeight="1" x14ac:dyDescent="0.2">
      <c r="A183" s="89"/>
      <c r="B183" s="95">
        <v>55</v>
      </c>
      <c r="C183" s="96" t="s">
        <v>104</v>
      </c>
      <c r="D183" s="102">
        <v>7000</v>
      </c>
      <c r="E183" s="71"/>
      <c r="F183" s="72">
        <v>7000</v>
      </c>
      <c r="G183" s="72">
        <v>-5000</v>
      </c>
      <c r="H183" s="72">
        <f>+G183+F183</f>
        <v>2000</v>
      </c>
      <c r="I183" s="71">
        <v>702</v>
      </c>
      <c r="J183" s="73">
        <v>5000</v>
      </c>
      <c r="K183" s="74">
        <v>0</v>
      </c>
      <c r="L183" s="141">
        <v>3500</v>
      </c>
      <c r="M183" s="141"/>
      <c r="N183" s="141">
        <f t="shared" ref="N183" si="80">+L183+M183</f>
        <v>3500</v>
      </c>
      <c r="O183" s="141">
        <f>O184+O185</f>
        <v>2607</v>
      </c>
      <c r="P183" s="67">
        <f>P184+P185</f>
        <v>3015</v>
      </c>
      <c r="Q183" s="87">
        <f t="shared" si="62"/>
        <v>-0.13857142857142857</v>
      </c>
      <c r="R183" s="56"/>
    </row>
    <row r="184" spans="1:25" ht="14.1" customHeight="1" x14ac:dyDescent="0.2">
      <c r="A184" s="89"/>
      <c r="B184" s="90" t="s">
        <v>105</v>
      </c>
      <c r="C184" s="72" t="s">
        <v>163</v>
      </c>
      <c r="D184" s="102"/>
      <c r="E184" s="71"/>
      <c r="F184" s="72"/>
      <c r="G184" s="72"/>
      <c r="H184" s="72"/>
      <c r="I184" s="71"/>
      <c r="J184" s="73"/>
      <c r="K184" s="74"/>
      <c r="L184" s="74"/>
      <c r="M184" s="74"/>
      <c r="N184" s="74"/>
      <c r="O184" s="74">
        <v>12</v>
      </c>
      <c r="P184" s="67">
        <v>15</v>
      </c>
      <c r="Q184" s="87" t="e">
        <f t="shared" si="62"/>
        <v>#DIV/0!</v>
      </c>
      <c r="R184" s="56" t="s">
        <v>807</v>
      </c>
    </row>
    <row r="185" spans="1:25" ht="14.1" customHeight="1" x14ac:dyDescent="0.2">
      <c r="A185" s="89"/>
      <c r="B185" s="90">
        <v>5511</v>
      </c>
      <c r="C185" s="72" t="s">
        <v>110</v>
      </c>
      <c r="D185" s="102"/>
      <c r="E185" s="71"/>
      <c r="F185" s="72"/>
      <c r="G185" s="72"/>
      <c r="H185" s="72"/>
      <c r="I185" s="71"/>
      <c r="J185" s="73"/>
      <c r="K185" s="74"/>
      <c r="L185" s="74"/>
      <c r="M185" s="74"/>
      <c r="N185" s="74"/>
      <c r="O185" s="74">
        <f>2562+33</f>
        <v>2595</v>
      </c>
      <c r="P185" s="67">
        <v>3000</v>
      </c>
      <c r="Q185" s="87" t="e">
        <f t="shared" si="62"/>
        <v>#DIV/0!</v>
      </c>
      <c r="R185" s="56" t="s">
        <v>1133</v>
      </c>
      <c r="S185" s="108" t="s">
        <v>1422</v>
      </c>
    </row>
    <row r="186" spans="1:25" ht="14.1" customHeight="1" x14ac:dyDescent="0.2">
      <c r="A186" s="79" t="s">
        <v>159</v>
      </c>
      <c r="B186" s="80">
        <v>4</v>
      </c>
      <c r="C186" s="81" t="s">
        <v>160</v>
      </c>
      <c r="D186" s="82">
        <v>1156533</v>
      </c>
      <c r="E186" s="83">
        <f>+E192+E201+E212+E221+E229+E237</f>
        <v>65478.400000000001</v>
      </c>
      <c r="F186" s="86">
        <f t="shared" ref="F186:F206" si="81">+E186+D186</f>
        <v>1222011.3999999999</v>
      </c>
      <c r="G186" s="86">
        <f>+G192+G201+G208+G212+G221+G229+G237</f>
        <v>183800</v>
      </c>
      <c r="H186" s="86">
        <f>+H192+H201+H208+H212+H221+H229+H237</f>
        <v>1405811.4</v>
      </c>
      <c r="I186" s="83">
        <f>+I192+I201+I212+I221+I229+I237</f>
        <v>1240914.19</v>
      </c>
      <c r="J186" s="82">
        <f>+J192+J201+J212+J221+J229+J237</f>
        <v>1470292</v>
      </c>
      <c r="K186" s="83">
        <f>+K192+K201+K208+K212+K221+K229+K237</f>
        <v>208450</v>
      </c>
      <c r="L186" s="83">
        <f>+L192+L201+L208+L212+L221+L229+L237</f>
        <v>1678742</v>
      </c>
      <c r="M186" s="83">
        <f t="shared" ref="M186:N186" si="82">+M192+M201+M208+M212+M221+M229+M237</f>
        <v>55822</v>
      </c>
      <c r="N186" s="83">
        <f t="shared" si="82"/>
        <v>1734564</v>
      </c>
      <c r="O186" s="83">
        <f t="shared" ref="O186" si="83">+O192+O201+O208+O212+O221+O229+O237</f>
        <v>1489998</v>
      </c>
      <c r="P186" s="83">
        <f>+P192+P201+P208+P212+P221+P229+P237</f>
        <v>2176730</v>
      </c>
      <c r="Q186" s="87">
        <f t="shared" si="62"/>
        <v>0.25491477973715587</v>
      </c>
      <c r="R186" s="88"/>
    </row>
    <row r="187" spans="1:25" ht="14.1" customHeight="1" x14ac:dyDescent="0.2">
      <c r="A187" s="137"/>
      <c r="B187" s="137"/>
      <c r="C187" s="137" t="s">
        <v>1052</v>
      </c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>
        <f>N189+N190+N188+N191</f>
        <v>1734564</v>
      </c>
      <c r="O187" s="137">
        <f>O189+O190+O188+O191</f>
        <v>1489998</v>
      </c>
      <c r="P187" s="137">
        <f>P189+P190+P188+P191</f>
        <v>2176730</v>
      </c>
      <c r="Q187" s="87">
        <f t="shared" si="62"/>
        <v>0.25491477973715587</v>
      </c>
      <c r="R187" s="168">
        <f>P187-N187</f>
        <v>442166</v>
      </c>
    </row>
    <row r="188" spans="1:25" ht="14.1" customHeight="1" x14ac:dyDescent="0.2">
      <c r="A188" s="139"/>
      <c r="B188" s="139">
        <v>45</v>
      </c>
      <c r="C188" s="139" t="s">
        <v>1053</v>
      </c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>
        <f>N222</f>
        <v>4100</v>
      </c>
      <c r="O188" s="139">
        <f>O222</f>
        <v>1900</v>
      </c>
      <c r="P188" s="139">
        <f>P222</f>
        <v>2100</v>
      </c>
      <c r="Q188" s="87">
        <f t="shared" si="62"/>
        <v>-0.48780487804878048</v>
      </c>
      <c r="R188" s="168">
        <f t="shared" ref="R188:R191" si="84">P188-N188</f>
        <v>-2000</v>
      </c>
    </row>
    <row r="189" spans="1:25" ht="14.1" customHeight="1" x14ac:dyDescent="0.2">
      <c r="A189" s="140"/>
      <c r="B189" s="140">
        <v>50</v>
      </c>
      <c r="C189" s="140" t="s">
        <v>1054</v>
      </c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>
        <f>N193+N213+N238</f>
        <v>601507</v>
      </c>
      <c r="O189" s="140">
        <f>O193+O213+O238</f>
        <v>455578</v>
      </c>
      <c r="P189" s="140">
        <f>P193+P213+P238</f>
        <v>744012</v>
      </c>
      <c r="Q189" s="87">
        <f t="shared" si="62"/>
        <v>0.23691328612967097</v>
      </c>
      <c r="R189" s="168">
        <f t="shared" si="84"/>
        <v>142505</v>
      </c>
    </row>
    <row r="190" spans="1:25" ht="14.1" customHeight="1" x14ac:dyDescent="0.2">
      <c r="A190" s="141"/>
      <c r="B190" s="141">
        <v>55</v>
      </c>
      <c r="C190" s="141" t="s">
        <v>1055</v>
      </c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>
        <f>N194+N202+N211+N214+N223+N230+N239</f>
        <v>1128932</v>
      </c>
      <c r="O190" s="141">
        <f>O194+O202+O209+O214+O223+O230+O239</f>
        <v>1032520</v>
      </c>
      <c r="P190" s="141">
        <f>P194+P202+P209+P214+P223+P230+P239</f>
        <v>1430593</v>
      </c>
      <c r="Q190" s="87">
        <f t="shared" si="62"/>
        <v>0.26720918531851345</v>
      </c>
      <c r="R190" s="168">
        <f t="shared" si="84"/>
        <v>301661</v>
      </c>
    </row>
    <row r="191" spans="1:25" ht="14.1" customHeight="1" x14ac:dyDescent="0.2">
      <c r="A191" s="142"/>
      <c r="B191" s="142">
        <v>60</v>
      </c>
      <c r="C191" s="142" t="s">
        <v>1056</v>
      </c>
      <c r="D191" s="145"/>
      <c r="E191" s="142"/>
      <c r="F191" s="142"/>
      <c r="G191" s="142"/>
      <c r="H191" s="142"/>
      <c r="I191" s="142"/>
      <c r="J191" s="145"/>
      <c r="K191" s="142"/>
      <c r="L191" s="142"/>
      <c r="M191" s="142"/>
      <c r="N191" s="142">
        <f>N220</f>
        <v>25</v>
      </c>
      <c r="O191" s="142">
        <f>O220</f>
        <v>0</v>
      </c>
      <c r="P191" s="142">
        <f>P220</f>
        <v>25</v>
      </c>
      <c r="Q191" s="87">
        <f t="shared" si="62"/>
        <v>0</v>
      </c>
      <c r="R191" s="168">
        <f t="shared" si="84"/>
        <v>0</v>
      </c>
    </row>
    <row r="192" spans="1:25" ht="14.1" customHeight="1" x14ac:dyDescent="0.2">
      <c r="A192" s="146" t="s">
        <v>161</v>
      </c>
      <c r="B192" s="147"/>
      <c r="C192" s="148" t="s">
        <v>162</v>
      </c>
      <c r="D192" s="149">
        <v>96185</v>
      </c>
      <c r="E192" s="150">
        <v>0</v>
      </c>
      <c r="F192" s="137">
        <f t="shared" si="81"/>
        <v>96185</v>
      </c>
      <c r="G192" s="137">
        <f>+G193+G194</f>
        <v>20000</v>
      </c>
      <c r="H192" s="137">
        <f>+H193+H194</f>
        <v>116185</v>
      </c>
      <c r="I192" s="151">
        <f>+I193+I194</f>
        <v>86713</v>
      </c>
      <c r="J192" s="152">
        <f>+J193+J194</f>
        <v>98161</v>
      </c>
      <c r="K192" s="137">
        <f>+K193+K194</f>
        <v>-75000</v>
      </c>
      <c r="L192" s="137">
        <f>+K192+J192</f>
        <v>23161</v>
      </c>
      <c r="M192" s="137">
        <f>+M193+M194</f>
        <v>1500</v>
      </c>
      <c r="N192" s="137">
        <f>+N193+N194</f>
        <v>24661</v>
      </c>
      <c r="O192" s="137">
        <f>+O193+O194</f>
        <v>20425</v>
      </c>
      <c r="P192" s="137">
        <f>+P193+P194</f>
        <v>30151</v>
      </c>
      <c r="Q192" s="87">
        <f t="shared" si="62"/>
        <v>0.22261870970358055</v>
      </c>
      <c r="R192" s="56" t="s">
        <v>727</v>
      </c>
      <c r="S192" s="108" t="s">
        <v>1122</v>
      </c>
    </row>
    <row r="193" spans="1:19" ht="14.1" customHeight="1" x14ac:dyDescent="0.2">
      <c r="A193" s="94"/>
      <c r="B193" s="95" t="s">
        <v>101</v>
      </c>
      <c r="C193" s="96" t="s">
        <v>102</v>
      </c>
      <c r="D193" s="43">
        <v>18465</v>
      </c>
      <c r="E193" s="71"/>
      <c r="F193" s="74">
        <f t="shared" si="81"/>
        <v>18465</v>
      </c>
      <c r="G193" s="74"/>
      <c r="H193" s="74">
        <f t="shared" ref="H193:H233" si="85">+G193+F193</f>
        <v>18465</v>
      </c>
      <c r="I193" s="71">
        <v>14620</v>
      </c>
      <c r="J193" s="73">
        <v>20311</v>
      </c>
      <c r="K193" s="74">
        <v>0</v>
      </c>
      <c r="L193" s="140">
        <f>+K193+J193</f>
        <v>20311</v>
      </c>
      <c r="M193" s="140"/>
      <c r="N193" s="140">
        <f t="shared" ref="N193" si="86">+M193+L193</f>
        <v>20311</v>
      </c>
      <c r="O193" s="140">
        <v>16226</v>
      </c>
      <c r="P193" s="140">
        <v>23361</v>
      </c>
      <c r="Q193" s="87">
        <f t="shared" si="62"/>
        <v>0.15016493525675742</v>
      </c>
      <c r="R193" s="107" t="s">
        <v>808</v>
      </c>
    </row>
    <row r="194" spans="1:19" ht="14.1" customHeight="1" x14ac:dyDescent="0.2">
      <c r="A194" s="94"/>
      <c r="B194" s="95" t="s">
        <v>103</v>
      </c>
      <c r="C194" s="96" t="s">
        <v>104</v>
      </c>
      <c r="D194" s="43">
        <v>77720</v>
      </c>
      <c r="E194" s="71"/>
      <c r="F194" s="74">
        <f t="shared" si="81"/>
        <v>77720</v>
      </c>
      <c r="G194" s="74">
        <f>SUM(G195:G200)</f>
        <v>20000</v>
      </c>
      <c r="H194" s="74">
        <f t="shared" si="85"/>
        <v>97720</v>
      </c>
      <c r="I194" s="71">
        <f>SUM(I195:I200)</f>
        <v>72093</v>
      </c>
      <c r="J194" s="73">
        <f>SUM(J195:J200)</f>
        <v>77850</v>
      </c>
      <c r="K194" s="73">
        <f>SUM(K195:K200)</f>
        <v>-75000</v>
      </c>
      <c r="L194" s="141">
        <f>+K194+J194</f>
        <v>2850</v>
      </c>
      <c r="M194" s="141">
        <f>+M195+M196+M197+M198+M199+M200</f>
        <v>1500</v>
      </c>
      <c r="N194" s="141">
        <f>+N195+N196+N197+N198+N199+N200</f>
        <v>4350</v>
      </c>
      <c r="O194" s="141">
        <f>+O195+O196+O197+O198+O199+O200</f>
        <v>4199</v>
      </c>
      <c r="P194" s="141">
        <f>+P195+P196+P197+P198+P199+P200</f>
        <v>6790</v>
      </c>
      <c r="Q194" s="87">
        <f t="shared" si="62"/>
        <v>0.56091954022988511</v>
      </c>
      <c r="R194" s="88"/>
    </row>
    <row r="195" spans="1:19" ht="14.1" customHeight="1" x14ac:dyDescent="0.2">
      <c r="A195" s="89"/>
      <c r="B195" s="90" t="s">
        <v>105</v>
      </c>
      <c r="C195" s="72" t="s">
        <v>163</v>
      </c>
      <c r="D195" s="102">
        <v>20</v>
      </c>
      <c r="E195" s="71"/>
      <c r="F195" s="74">
        <f t="shared" si="81"/>
        <v>20</v>
      </c>
      <c r="G195" s="74"/>
      <c r="H195" s="74">
        <f t="shared" si="85"/>
        <v>20</v>
      </c>
      <c r="I195" s="71">
        <v>96</v>
      </c>
      <c r="J195" s="73">
        <v>50</v>
      </c>
      <c r="K195" s="74">
        <v>0</v>
      </c>
      <c r="L195" s="74">
        <f t="shared" ref="L195:L200" si="87">+K195+J195</f>
        <v>50</v>
      </c>
      <c r="M195" s="74"/>
      <c r="N195" s="74">
        <f>+M195+L195</f>
        <v>50</v>
      </c>
      <c r="O195" s="74">
        <v>72</v>
      </c>
      <c r="P195" s="67">
        <v>90</v>
      </c>
      <c r="Q195" s="87">
        <f t="shared" si="62"/>
        <v>0.8</v>
      </c>
      <c r="R195" s="88"/>
    </row>
    <row r="196" spans="1:19" ht="14.1" customHeight="1" x14ac:dyDescent="0.2">
      <c r="A196" s="89"/>
      <c r="B196" s="90">
        <v>5504</v>
      </c>
      <c r="C196" s="72" t="s">
        <v>118</v>
      </c>
      <c r="D196" s="102">
        <v>200</v>
      </c>
      <c r="E196" s="71"/>
      <c r="F196" s="74">
        <f t="shared" si="81"/>
        <v>200</v>
      </c>
      <c r="G196" s="74"/>
      <c r="H196" s="74">
        <f t="shared" si="85"/>
        <v>200</v>
      </c>
      <c r="I196" s="71">
        <v>0</v>
      </c>
      <c r="J196" s="73">
        <v>200</v>
      </c>
      <c r="K196" s="74">
        <v>0</v>
      </c>
      <c r="L196" s="74">
        <f t="shared" si="87"/>
        <v>200</v>
      </c>
      <c r="M196" s="74"/>
      <c r="N196" s="74">
        <f t="shared" ref="N196:N200" si="88">+M196+L196</f>
        <v>200</v>
      </c>
      <c r="O196" s="74">
        <v>0</v>
      </c>
      <c r="P196" s="67">
        <v>300</v>
      </c>
      <c r="Q196" s="87">
        <f t="shared" si="62"/>
        <v>0.5</v>
      </c>
      <c r="R196" s="88" t="s">
        <v>1135</v>
      </c>
    </row>
    <row r="197" spans="1:19" ht="14.1" customHeight="1" x14ac:dyDescent="0.2">
      <c r="A197" s="89"/>
      <c r="B197" s="90">
        <v>5513</v>
      </c>
      <c r="C197" s="72" t="s">
        <v>130</v>
      </c>
      <c r="D197" s="102">
        <v>2500</v>
      </c>
      <c r="E197" s="71"/>
      <c r="F197" s="74">
        <f t="shared" si="81"/>
        <v>2500</v>
      </c>
      <c r="G197" s="74"/>
      <c r="H197" s="74">
        <f t="shared" si="85"/>
        <v>2500</v>
      </c>
      <c r="I197" s="71">
        <v>2525</v>
      </c>
      <c r="J197" s="73">
        <v>2500</v>
      </c>
      <c r="K197" s="74">
        <v>0</v>
      </c>
      <c r="L197" s="74">
        <f t="shared" si="87"/>
        <v>2500</v>
      </c>
      <c r="M197" s="74"/>
      <c r="N197" s="74">
        <f t="shared" si="88"/>
        <v>2500</v>
      </c>
      <c r="O197" s="74">
        <v>1900</v>
      </c>
      <c r="P197" s="67">
        <v>2100</v>
      </c>
      <c r="Q197" s="87">
        <f t="shared" si="62"/>
        <v>-0.16</v>
      </c>
      <c r="R197" s="88" t="s">
        <v>810</v>
      </c>
    </row>
    <row r="198" spans="1:19" ht="14.1" customHeight="1" x14ac:dyDescent="0.2">
      <c r="A198" s="89"/>
      <c r="B198" s="90">
        <v>5514</v>
      </c>
      <c r="C198" s="72" t="s">
        <v>112</v>
      </c>
      <c r="D198" s="102">
        <v>0</v>
      </c>
      <c r="E198" s="71"/>
      <c r="F198" s="74">
        <f t="shared" si="81"/>
        <v>0</v>
      </c>
      <c r="G198" s="74"/>
      <c r="H198" s="74">
        <f t="shared" si="85"/>
        <v>0</v>
      </c>
      <c r="I198" s="71"/>
      <c r="J198" s="73"/>
      <c r="K198" s="74">
        <v>0</v>
      </c>
      <c r="L198" s="74">
        <f t="shared" si="87"/>
        <v>0</v>
      </c>
      <c r="M198" s="74"/>
      <c r="N198" s="74">
        <f t="shared" si="88"/>
        <v>0</v>
      </c>
      <c r="O198" s="74"/>
      <c r="P198" s="67">
        <f>+N198+M198</f>
        <v>0</v>
      </c>
      <c r="Q198" s="87" t="e">
        <f t="shared" si="62"/>
        <v>#DIV/0!</v>
      </c>
      <c r="R198" s="88"/>
    </row>
    <row r="199" spans="1:19" ht="14.1" customHeight="1" x14ac:dyDescent="0.2">
      <c r="A199" s="89"/>
      <c r="B199" s="90">
        <v>5522</v>
      </c>
      <c r="C199" s="72" t="s">
        <v>137</v>
      </c>
      <c r="D199" s="102">
        <v>0</v>
      </c>
      <c r="E199" s="71"/>
      <c r="F199" s="74">
        <f t="shared" si="81"/>
        <v>0</v>
      </c>
      <c r="G199" s="74"/>
      <c r="H199" s="74">
        <f t="shared" si="85"/>
        <v>0</v>
      </c>
      <c r="I199" s="71"/>
      <c r="J199" s="73">
        <v>100</v>
      </c>
      <c r="K199" s="74">
        <v>0</v>
      </c>
      <c r="L199" s="74">
        <f t="shared" si="87"/>
        <v>100</v>
      </c>
      <c r="M199" s="74"/>
      <c r="N199" s="74">
        <f t="shared" si="88"/>
        <v>100</v>
      </c>
      <c r="O199" s="74"/>
      <c r="P199" s="67">
        <v>100</v>
      </c>
      <c r="Q199" s="87">
        <f t="shared" si="62"/>
        <v>0</v>
      </c>
      <c r="R199" s="88" t="s">
        <v>1140</v>
      </c>
    </row>
    <row r="200" spans="1:19" ht="14.1" customHeight="1" x14ac:dyDescent="0.2">
      <c r="A200" s="89"/>
      <c r="B200" s="90" t="s">
        <v>164</v>
      </c>
      <c r="C200" s="72" t="s">
        <v>205</v>
      </c>
      <c r="D200" s="102">
        <v>75000</v>
      </c>
      <c r="E200" s="71"/>
      <c r="F200" s="74">
        <f t="shared" si="81"/>
        <v>75000</v>
      </c>
      <c r="G200" s="74">
        <v>20000</v>
      </c>
      <c r="H200" s="74">
        <f t="shared" si="85"/>
        <v>95000</v>
      </c>
      <c r="I200" s="71">
        <v>69472</v>
      </c>
      <c r="J200" s="73">
        <v>75000</v>
      </c>
      <c r="K200" s="74">
        <v>-75000</v>
      </c>
      <c r="L200" s="74">
        <f t="shared" si="87"/>
        <v>0</v>
      </c>
      <c r="M200" s="92">
        <v>1500</v>
      </c>
      <c r="N200" s="74">
        <f t="shared" si="88"/>
        <v>1500</v>
      </c>
      <c r="O200" s="74">
        <v>2227</v>
      </c>
      <c r="P200" s="67">
        <v>4200</v>
      </c>
      <c r="Q200" s="87">
        <f t="shared" si="62"/>
        <v>1.8</v>
      </c>
      <c r="R200" s="56" t="s">
        <v>809</v>
      </c>
    </row>
    <row r="201" spans="1:19" ht="14.1" customHeight="1" x14ac:dyDescent="0.2">
      <c r="A201" s="146" t="s">
        <v>165</v>
      </c>
      <c r="B201" s="147"/>
      <c r="C201" s="148" t="s">
        <v>166</v>
      </c>
      <c r="D201" s="149">
        <v>395000</v>
      </c>
      <c r="E201" s="151">
        <f>+E202</f>
        <v>48000</v>
      </c>
      <c r="F201" s="137">
        <f t="shared" si="81"/>
        <v>443000</v>
      </c>
      <c r="G201" s="137">
        <f>+G202</f>
        <v>150000</v>
      </c>
      <c r="H201" s="137">
        <f>+H202</f>
        <v>593000</v>
      </c>
      <c r="I201" s="151">
        <f>+I202</f>
        <v>570129</v>
      </c>
      <c r="J201" s="152">
        <f>+J202</f>
        <v>500000</v>
      </c>
      <c r="K201" s="137">
        <f>+K202</f>
        <v>100000</v>
      </c>
      <c r="L201" s="137">
        <f>+K201+J201</f>
        <v>600000</v>
      </c>
      <c r="M201" s="137">
        <f>+M202</f>
        <v>0</v>
      </c>
      <c r="N201" s="137">
        <f>N202</f>
        <v>600000</v>
      </c>
      <c r="O201" s="137">
        <f>O202</f>
        <v>546342</v>
      </c>
      <c r="P201" s="137">
        <f>P202</f>
        <v>700125</v>
      </c>
      <c r="Q201" s="87">
        <f t="shared" si="62"/>
        <v>0.166875</v>
      </c>
      <c r="R201" s="88"/>
    </row>
    <row r="202" spans="1:19" ht="14.1" customHeight="1" x14ac:dyDescent="0.2">
      <c r="A202" s="89"/>
      <c r="B202" s="90">
        <v>55</v>
      </c>
      <c r="C202" s="72" t="s">
        <v>104</v>
      </c>
      <c r="D202" s="43">
        <v>395000</v>
      </c>
      <c r="E202" s="71">
        <f>+E204+E205+E206</f>
        <v>48000</v>
      </c>
      <c r="F202" s="74">
        <f t="shared" si="81"/>
        <v>443000</v>
      </c>
      <c r="G202" s="74">
        <f>SUM(G203:G206)</f>
        <v>150000</v>
      </c>
      <c r="H202" s="74">
        <f t="shared" si="85"/>
        <v>593000</v>
      </c>
      <c r="I202" s="71">
        <f>SUM(I203:I206)</f>
        <v>570129</v>
      </c>
      <c r="J202" s="73">
        <f>SUM(J203:J206)</f>
        <v>500000</v>
      </c>
      <c r="K202" s="73">
        <f>SUM(K203:K206)</f>
        <v>100000</v>
      </c>
      <c r="L202" s="166">
        <f t="shared" ref="L202" si="89">SUM(L203:L206)</f>
        <v>600000</v>
      </c>
      <c r="M202" s="166">
        <f>SUM(M203:M206)</f>
        <v>0</v>
      </c>
      <c r="N202" s="166">
        <f>SUM(N203:N207)</f>
        <v>600000</v>
      </c>
      <c r="O202" s="166">
        <f>SUM(O203:O207)</f>
        <v>546342</v>
      </c>
      <c r="P202" s="166">
        <f>SUM(P203:P207)</f>
        <v>700125</v>
      </c>
      <c r="Q202" s="87">
        <f t="shared" si="62"/>
        <v>0.166875</v>
      </c>
      <c r="R202" s="88"/>
      <c r="S202" s="169" t="s">
        <v>1147</v>
      </c>
    </row>
    <row r="203" spans="1:19" ht="14.1" customHeight="1" x14ac:dyDescent="0.2">
      <c r="A203" s="89"/>
      <c r="B203" s="90">
        <v>5500</v>
      </c>
      <c r="C203" s="72" t="s">
        <v>163</v>
      </c>
      <c r="D203" s="43"/>
      <c r="E203" s="71"/>
      <c r="F203" s="74">
        <f t="shared" si="81"/>
        <v>0</v>
      </c>
      <c r="G203" s="74"/>
      <c r="H203" s="74">
        <f t="shared" si="85"/>
        <v>0</v>
      </c>
      <c r="I203" s="71">
        <v>13</v>
      </c>
      <c r="J203" s="73"/>
      <c r="K203" s="74"/>
      <c r="L203" s="74"/>
      <c r="M203" s="74"/>
      <c r="N203" s="74">
        <f t="shared" ref="N203:N211" si="90">+M203+L203</f>
        <v>0</v>
      </c>
      <c r="O203" s="74">
        <v>12</v>
      </c>
      <c r="P203" s="67">
        <v>25</v>
      </c>
      <c r="Q203" s="87">
        <v>1</v>
      </c>
      <c r="R203" s="88"/>
    </row>
    <row r="204" spans="1:19" ht="14.1" customHeight="1" x14ac:dyDescent="0.2">
      <c r="A204" s="89"/>
      <c r="B204" s="90">
        <v>5512</v>
      </c>
      <c r="C204" s="72" t="s">
        <v>167</v>
      </c>
      <c r="D204" s="102">
        <v>395000</v>
      </c>
      <c r="E204" s="71">
        <v>48000</v>
      </c>
      <c r="F204" s="74">
        <f t="shared" si="81"/>
        <v>443000</v>
      </c>
      <c r="G204" s="74">
        <v>150000</v>
      </c>
      <c r="H204" s="74">
        <f t="shared" si="85"/>
        <v>593000</v>
      </c>
      <c r="I204" s="71">
        <v>561188</v>
      </c>
      <c r="J204" s="73">
        <v>500000</v>
      </c>
      <c r="K204" s="74">
        <v>100000</v>
      </c>
      <c r="L204" s="74">
        <v>600000</v>
      </c>
      <c r="M204" s="74"/>
      <c r="N204" s="74">
        <f t="shared" si="90"/>
        <v>600000</v>
      </c>
      <c r="O204" s="74">
        <v>533004</v>
      </c>
      <c r="P204" s="67">
        <v>675100</v>
      </c>
      <c r="Q204" s="87">
        <f t="shared" si="62"/>
        <v>0.12516666666666668</v>
      </c>
      <c r="R204" s="88" t="s">
        <v>1237</v>
      </c>
      <c r="S204" s="49"/>
    </row>
    <row r="205" spans="1:19" ht="14.1" customHeight="1" x14ac:dyDescent="0.2">
      <c r="A205" s="89"/>
      <c r="B205" s="90">
        <v>5514</v>
      </c>
      <c r="C205" s="72" t="s">
        <v>112</v>
      </c>
      <c r="D205" s="102">
        <v>0</v>
      </c>
      <c r="E205" s="71"/>
      <c r="F205" s="74">
        <f t="shared" si="81"/>
        <v>0</v>
      </c>
      <c r="G205" s="74"/>
      <c r="H205" s="74">
        <f t="shared" si="85"/>
        <v>0</v>
      </c>
      <c r="I205" s="71">
        <v>0</v>
      </c>
      <c r="J205" s="73"/>
      <c r="K205" s="74"/>
      <c r="L205" s="74"/>
      <c r="M205" s="74"/>
      <c r="N205" s="74">
        <f t="shared" si="90"/>
        <v>0</v>
      </c>
      <c r="O205" s="74"/>
      <c r="P205" s="67">
        <v>0</v>
      </c>
      <c r="Q205" s="87" t="e">
        <f t="shared" si="62"/>
        <v>#DIV/0!</v>
      </c>
      <c r="R205" s="88"/>
    </row>
    <row r="206" spans="1:19" ht="14.1" customHeight="1" x14ac:dyDescent="0.2">
      <c r="A206" s="89"/>
      <c r="B206" s="90">
        <v>5515</v>
      </c>
      <c r="C206" s="72" t="s">
        <v>168</v>
      </c>
      <c r="D206" s="102">
        <v>0</v>
      </c>
      <c r="E206" s="71"/>
      <c r="F206" s="74">
        <f t="shared" si="81"/>
        <v>0</v>
      </c>
      <c r="G206" s="74"/>
      <c r="H206" s="74">
        <f t="shared" si="85"/>
        <v>0</v>
      </c>
      <c r="I206" s="71">
        <v>8928</v>
      </c>
      <c r="J206" s="73"/>
      <c r="K206" s="74"/>
      <c r="L206" s="74"/>
      <c r="M206" s="74"/>
      <c r="N206" s="74">
        <f t="shared" si="90"/>
        <v>0</v>
      </c>
      <c r="O206" s="74">
        <v>11418</v>
      </c>
      <c r="P206" s="67">
        <v>25000</v>
      </c>
      <c r="Q206" s="87" t="e">
        <f t="shared" si="62"/>
        <v>#DIV/0!</v>
      </c>
      <c r="R206" s="88" t="s">
        <v>1236</v>
      </c>
    </row>
    <row r="207" spans="1:19" ht="14.1" customHeight="1" x14ac:dyDescent="0.2">
      <c r="A207" s="89"/>
      <c r="B207" s="90" t="s">
        <v>164</v>
      </c>
      <c r="C207" s="72" t="s">
        <v>205</v>
      </c>
      <c r="D207" s="102"/>
      <c r="E207" s="71"/>
      <c r="F207" s="74"/>
      <c r="G207" s="74"/>
      <c r="H207" s="74"/>
      <c r="I207" s="71"/>
      <c r="J207" s="73"/>
      <c r="K207" s="74"/>
      <c r="L207" s="74"/>
      <c r="M207" s="74"/>
      <c r="N207" s="74"/>
      <c r="O207" s="74">
        <v>1908</v>
      </c>
      <c r="P207" s="67"/>
      <c r="Q207" s="87"/>
      <c r="R207" s="88"/>
    </row>
    <row r="208" spans="1:19" ht="14.1" customHeight="1" x14ac:dyDescent="0.2">
      <c r="A208" s="146" t="s">
        <v>606</v>
      </c>
      <c r="B208" s="147"/>
      <c r="C208" s="148" t="s">
        <v>607</v>
      </c>
      <c r="D208" s="149"/>
      <c r="E208" s="151"/>
      <c r="F208" s="137"/>
      <c r="G208" s="137">
        <v>0</v>
      </c>
      <c r="H208" s="137">
        <v>0</v>
      </c>
      <c r="I208" s="151"/>
      <c r="J208" s="152">
        <f>+J211</f>
        <v>0</v>
      </c>
      <c r="K208" s="137">
        <f>+K211</f>
        <v>219600</v>
      </c>
      <c r="L208" s="137">
        <f>+L211</f>
        <v>219600</v>
      </c>
      <c r="M208" s="137">
        <f>+M211</f>
        <v>36500</v>
      </c>
      <c r="N208" s="137">
        <f>+N209</f>
        <v>256100</v>
      </c>
      <c r="O208" s="137">
        <f>+O209</f>
        <v>257936</v>
      </c>
      <c r="P208" s="137">
        <f>+P209</f>
        <v>437000</v>
      </c>
      <c r="Q208" s="87">
        <f t="shared" si="62"/>
        <v>0.7063647012885591</v>
      </c>
      <c r="R208" s="88"/>
    </row>
    <row r="209" spans="1:25" ht="14.1" customHeight="1" x14ac:dyDescent="0.2">
      <c r="A209" s="89"/>
      <c r="B209" s="90">
        <v>55</v>
      </c>
      <c r="C209" s="72" t="s">
        <v>104</v>
      </c>
      <c r="D209" s="149"/>
      <c r="E209" s="151"/>
      <c r="F209" s="137"/>
      <c r="G209" s="137"/>
      <c r="H209" s="137"/>
      <c r="I209" s="151"/>
      <c r="J209" s="152"/>
      <c r="K209" s="137"/>
      <c r="L209" s="137"/>
      <c r="M209" s="137"/>
      <c r="N209" s="170">
        <f>N210+N211</f>
        <v>256100</v>
      </c>
      <c r="O209" s="170">
        <f>O210+O211</f>
        <v>257936</v>
      </c>
      <c r="P209" s="170">
        <f>P210+P211</f>
        <v>437000</v>
      </c>
      <c r="Q209" s="87">
        <f t="shared" si="62"/>
        <v>0.7063647012885591</v>
      </c>
      <c r="R209" s="87"/>
    </row>
    <row r="210" spans="1:25" ht="14.1" customHeight="1" x14ac:dyDescent="0.2">
      <c r="A210" s="89"/>
      <c r="B210" s="90">
        <v>5512</v>
      </c>
      <c r="C210" s="72" t="s">
        <v>183</v>
      </c>
      <c r="D210" s="149"/>
      <c r="E210" s="151"/>
      <c r="F210" s="137"/>
      <c r="G210" s="137"/>
      <c r="H210" s="137"/>
      <c r="I210" s="151"/>
      <c r="J210" s="152"/>
      <c r="K210" s="137"/>
      <c r="L210" s="137"/>
      <c r="M210" s="137"/>
      <c r="N210" s="98"/>
      <c r="O210" s="74">
        <v>61390</v>
      </c>
      <c r="P210" s="67">
        <v>87000</v>
      </c>
      <c r="Q210" s="87">
        <v>1</v>
      </c>
      <c r="R210" s="87" t="s">
        <v>1136</v>
      </c>
    </row>
    <row r="211" spans="1:25" ht="14.1" customHeight="1" x14ac:dyDescent="0.2">
      <c r="A211" s="89"/>
      <c r="B211" s="90" t="s">
        <v>164</v>
      </c>
      <c r="C211" s="72" t="s">
        <v>205</v>
      </c>
      <c r="D211" s="102"/>
      <c r="E211" s="71"/>
      <c r="F211" s="74"/>
      <c r="G211" s="74"/>
      <c r="H211" s="74"/>
      <c r="I211" s="71"/>
      <c r="J211" s="73">
        <v>0</v>
      </c>
      <c r="K211" s="74">
        <v>219600</v>
      </c>
      <c r="L211" s="141">
        <v>219600</v>
      </c>
      <c r="M211" s="92">
        <v>36500</v>
      </c>
      <c r="N211" s="74">
        <f t="shared" si="90"/>
        <v>256100</v>
      </c>
      <c r="O211" s="74">
        <v>196546</v>
      </c>
      <c r="P211" s="67">
        <v>350000</v>
      </c>
      <c r="Q211" s="87">
        <f t="shared" si="62"/>
        <v>0.36665365091761032</v>
      </c>
      <c r="R211" s="171" t="s">
        <v>1406</v>
      </c>
    </row>
    <row r="212" spans="1:25" ht="14.1" customHeight="1" x14ac:dyDescent="0.2">
      <c r="A212" s="146" t="s">
        <v>169</v>
      </c>
      <c r="B212" s="147"/>
      <c r="C212" s="148" t="s">
        <v>170</v>
      </c>
      <c r="D212" s="149">
        <v>10000</v>
      </c>
      <c r="E212" s="151">
        <v>0</v>
      </c>
      <c r="F212" s="137">
        <f t="shared" ref="F212:F231" si="91">+E212+D212</f>
        <v>10000</v>
      </c>
      <c r="G212" s="137">
        <v>0</v>
      </c>
      <c r="H212" s="137">
        <f>+H213+H214</f>
        <v>10000</v>
      </c>
      <c r="I212" s="151">
        <f>+I213+I214</f>
        <v>6473</v>
      </c>
      <c r="J212" s="152">
        <f>+J213+J214+J220</f>
        <v>5525</v>
      </c>
      <c r="K212" s="152">
        <f t="shared" ref="K212" si="92">+K213+K214+K220</f>
        <v>0</v>
      </c>
      <c r="L212" s="152">
        <f>+L213+L214+L220</f>
        <v>5525</v>
      </c>
      <c r="M212" s="152">
        <f>+M213+M214+M220</f>
        <v>0</v>
      </c>
      <c r="N212" s="152">
        <f t="shared" ref="N212" si="93">+N213+N214+N220</f>
        <v>5525</v>
      </c>
      <c r="O212" s="152">
        <f t="shared" ref="O212:P212" si="94">+O213+O214+O220</f>
        <v>1764</v>
      </c>
      <c r="P212" s="152">
        <f t="shared" si="94"/>
        <v>9025</v>
      </c>
      <c r="Q212" s="87">
        <f t="shared" si="62"/>
        <v>0.63348416289592757</v>
      </c>
      <c r="R212" s="88"/>
    </row>
    <row r="213" spans="1:25" ht="14.1" customHeight="1" x14ac:dyDescent="0.2">
      <c r="A213" s="89"/>
      <c r="B213" s="95" t="s">
        <v>101</v>
      </c>
      <c r="C213" s="96" t="s">
        <v>102</v>
      </c>
      <c r="D213" s="43">
        <v>4500</v>
      </c>
      <c r="E213" s="71"/>
      <c r="F213" s="74">
        <f t="shared" si="91"/>
        <v>4500</v>
      </c>
      <c r="G213" s="74"/>
      <c r="H213" s="74">
        <f t="shared" si="85"/>
        <v>4500</v>
      </c>
      <c r="I213" s="71">
        <v>1010</v>
      </c>
      <c r="J213" s="73">
        <v>3000</v>
      </c>
      <c r="K213" s="74"/>
      <c r="L213" s="140">
        <v>3000</v>
      </c>
      <c r="M213" s="140"/>
      <c r="N213" s="140">
        <f t="shared" ref="N213" si="95">+M213+L213</f>
        <v>3000</v>
      </c>
      <c r="O213" s="140">
        <v>675</v>
      </c>
      <c r="P213" s="140">
        <v>3000</v>
      </c>
      <c r="Q213" s="87">
        <f t="shared" si="62"/>
        <v>0</v>
      </c>
      <c r="R213" s="88" t="s">
        <v>1223</v>
      </c>
    </row>
    <row r="214" spans="1:25" ht="14.1" customHeight="1" x14ac:dyDescent="0.2">
      <c r="A214" s="89"/>
      <c r="B214" s="95" t="s">
        <v>103</v>
      </c>
      <c r="C214" s="96" t="s">
        <v>104</v>
      </c>
      <c r="D214" s="102">
        <v>5500</v>
      </c>
      <c r="E214" s="71"/>
      <c r="F214" s="74">
        <f t="shared" si="91"/>
        <v>5500</v>
      </c>
      <c r="G214" s="74"/>
      <c r="H214" s="74">
        <f t="shared" si="85"/>
        <v>5500</v>
      </c>
      <c r="I214" s="71">
        <f>+I215+I216+I217+I218+I220</f>
        <v>5463</v>
      </c>
      <c r="J214" s="73">
        <f>SUM(J215:J218)</f>
        <v>2500</v>
      </c>
      <c r="K214" s="74"/>
      <c r="L214" s="141">
        <f>SUM(L215:L218)</f>
        <v>2500</v>
      </c>
      <c r="M214" s="141">
        <f t="shared" ref="M214:N214" si="96">SUM(M215:M218)</f>
        <v>0</v>
      </c>
      <c r="N214" s="141">
        <f t="shared" si="96"/>
        <v>2500</v>
      </c>
      <c r="O214" s="141">
        <f>SUM(O215:O219)</f>
        <v>1089</v>
      </c>
      <c r="P214" s="141">
        <f>SUM(P215:P219)</f>
        <v>6000</v>
      </c>
      <c r="Q214" s="87">
        <f t="shared" si="62"/>
        <v>1.4</v>
      </c>
      <c r="R214" s="88"/>
    </row>
    <row r="215" spans="1:25" ht="0.6" customHeight="1" x14ac:dyDescent="0.2">
      <c r="A215" s="89"/>
      <c r="B215" s="90">
        <v>5500</v>
      </c>
      <c r="C215" s="72" t="s">
        <v>163</v>
      </c>
      <c r="D215" s="102">
        <v>0</v>
      </c>
      <c r="E215" s="71"/>
      <c r="F215" s="74">
        <f t="shared" si="91"/>
        <v>0</v>
      </c>
      <c r="G215" s="74"/>
      <c r="H215" s="74">
        <f t="shared" si="85"/>
        <v>0</v>
      </c>
      <c r="I215" s="71">
        <v>1</v>
      </c>
      <c r="J215" s="73"/>
      <c r="K215" s="74"/>
      <c r="L215" s="74"/>
      <c r="M215" s="74"/>
      <c r="N215" s="74">
        <f t="shared" ref="N215:N218" si="97">+M215+L215</f>
        <v>0</v>
      </c>
      <c r="O215" s="74"/>
      <c r="P215" s="67">
        <f>+N215+M215</f>
        <v>0</v>
      </c>
      <c r="Q215" s="87" t="e">
        <f t="shared" si="62"/>
        <v>#DIV/0!</v>
      </c>
      <c r="R215" s="88"/>
    </row>
    <row r="216" spans="1:25" ht="14.1" hidden="1" customHeight="1" x14ac:dyDescent="0.2">
      <c r="A216" s="89"/>
      <c r="B216" s="90">
        <v>5512</v>
      </c>
      <c r="C216" s="172" t="s">
        <v>167</v>
      </c>
      <c r="D216" s="102">
        <v>0</v>
      </c>
      <c r="E216" s="71"/>
      <c r="F216" s="74">
        <f t="shared" si="91"/>
        <v>0</v>
      </c>
      <c r="G216" s="74"/>
      <c r="H216" s="74">
        <f t="shared" si="85"/>
        <v>0</v>
      </c>
      <c r="I216" s="71"/>
      <c r="J216" s="73"/>
      <c r="K216" s="74"/>
      <c r="L216" s="74"/>
      <c r="M216" s="74"/>
      <c r="N216" s="74">
        <f t="shared" si="97"/>
        <v>0</v>
      </c>
      <c r="O216" s="74"/>
      <c r="P216" s="67">
        <f>+N216+M216</f>
        <v>0</v>
      </c>
      <c r="Q216" s="87" t="e">
        <f t="shared" si="62"/>
        <v>#DIV/0!</v>
      </c>
      <c r="R216" s="88"/>
    </row>
    <row r="217" spans="1:25" ht="13.5" customHeight="1" x14ac:dyDescent="0.2">
      <c r="A217" s="89"/>
      <c r="B217" s="90">
        <v>5513</v>
      </c>
      <c r="C217" s="56" t="s">
        <v>130</v>
      </c>
      <c r="D217" s="102">
        <v>5500</v>
      </c>
      <c r="E217" s="71"/>
      <c r="F217" s="74">
        <f t="shared" si="91"/>
        <v>5500</v>
      </c>
      <c r="G217" s="74"/>
      <c r="H217" s="74">
        <f t="shared" si="85"/>
        <v>5500</v>
      </c>
      <c r="I217" s="71">
        <v>5462</v>
      </c>
      <c r="J217" s="73">
        <v>2500</v>
      </c>
      <c r="K217" s="74"/>
      <c r="L217" s="74">
        <v>2500</v>
      </c>
      <c r="M217" s="74"/>
      <c r="N217" s="74">
        <f t="shared" si="97"/>
        <v>2500</v>
      </c>
      <c r="O217" s="74">
        <v>1089</v>
      </c>
      <c r="P217" s="67">
        <v>2500</v>
      </c>
      <c r="Q217" s="87">
        <f t="shared" si="62"/>
        <v>0</v>
      </c>
      <c r="R217" s="88" t="s">
        <v>1051</v>
      </c>
    </row>
    <row r="218" spans="1:25" ht="14.1" hidden="1" customHeight="1" x14ac:dyDescent="0.2">
      <c r="A218" s="89"/>
      <c r="B218" s="90">
        <v>5515</v>
      </c>
      <c r="C218" s="72" t="s">
        <v>133</v>
      </c>
      <c r="D218" s="102">
        <v>0</v>
      </c>
      <c r="E218" s="71"/>
      <c r="F218" s="74">
        <f t="shared" si="91"/>
        <v>0</v>
      </c>
      <c r="G218" s="74"/>
      <c r="H218" s="74">
        <f t="shared" si="85"/>
        <v>0</v>
      </c>
      <c r="I218" s="71"/>
      <c r="J218" s="73"/>
      <c r="K218" s="74"/>
      <c r="L218" s="74"/>
      <c r="M218" s="74"/>
      <c r="N218" s="74">
        <f t="shared" si="97"/>
        <v>0</v>
      </c>
      <c r="O218" s="74"/>
      <c r="P218" s="67">
        <f>+N218+M218</f>
        <v>0</v>
      </c>
      <c r="Q218" s="87" t="e">
        <f t="shared" si="62"/>
        <v>#DIV/0!</v>
      </c>
      <c r="R218" s="88"/>
    </row>
    <row r="219" spans="1:25" ht="14.1" customHeight="1" x14ac:dyDescent="0.2">
      <c r="A219" s="89"/>
      <c r="B219" s="90">
        <v>5540</v>
      </c>
      <c r="C219" s="72" t="s">
        <v>205</v>
      </c>
      <c r="D219" s="102"/>
      <c r="E219" s="71"/>
      <c r="F219" s="74"/>
      <c r="G219" s="74"/>
      <c r="H219" s="74"/>
      <c r="I219" s="71"/>
      <c r="J219" s="73"/>
      <c r="K219" s="74"/>
      <c r="L219" s="74"/>
      <c r="M219" s="74"/>
      <c r="N219" s="74"/>
      <c r="O219" s="74"/>
      <c r="P219" s="67">
        <v>3500</v>
      </c>
      <c r="Q219" s="87" t="s">
        <v>1241</v>
      </c>
      <c r="R219" s="88"/>
    </row>
    <row r="220" spans="1:25" ht="14.1" customHeight="1" x14ac:dyDescent="0.2">
      <c r="A220" s="89"/>
      <c r="B220" s="90">
        <v>6010</v>
      </c>
      <c r="C220" s="72" t="s">
        <v>140</v>
      </c>
      <c r="D220" s="102">
        <v>0</v>
      </c>
      <c r="E220" s="71"/>
      <c r="F220" s="74">
        <f t="shared" si="91"/>
        <v>0</v>
      </c>
      <c r="G220" s="74"/>
      <c r="H220" s="74">
        <f t="shared" si="85"/>
        <v>0</v>
      </c>
      <c r="I220" s="71"/>
      <c r="J220" s="73">
        <v>25</v>
      </c>
      <c r="K220" s="74"/>
      <c r="L220" s="142">
        <v>25</v>
      </c>
      <c r="M220" s="142"/>
      <c r="N220" s="142">
        <f>+L220+M220</f>
        <v>25</v>
      </c>
      <c r="O220" s="142">
        <v>0</v>
      </c>
      <c r="P220" s="142">
        <v>25</v>
      </c>
      <c r="Q220" s="87">
        <f t="shared" si="62"/>
        <v>0</v>
      </c>
      <c r="R220" s="111"/>
    </row>
    <row r="221" spans="1:25" ht="14.1" customHeight="1" x14ac:dyDescent="0.2">
      <c r="A221" s="146" t="s">
        <v>171</v>
      </c>
      <c r="B221" s="147"/>
      <c r="C221" s="148" t="s">
        <v>172</v>
      </c>
      <c r="D221" s="149">
        <v>5100</v>
      </c>
      <c r="E221" s="151">
        <v>0</v>
      </c>
      <c r="F221" s="137">
        <f t="shared" si="91"/>
        <v>5100</v>
      </c>
      <c r="G221" s="137">
        <v>0</v>
      </c>
      <c r="H221" s="137">
        <f>+H222+H223</f>
        <v>5100</v>
      </c>
      <c r="I221" s="151">
        <f>+I222+I223</f>
        <v>2978</v>
      </c>
      <c r="J221" s="152">
        <f>+J222+J223</f>
        <v>5100</v>
      </c>
      <c r="K221" s="152">
        <f>+K222+K223</f>
        <v>1850</v>
      </c>
      <c r="L221" s="137">
        <f>+L222+L223</f>
        <v>6950</v>
      </c>
      <c r="M221" s="137">
        <f t="shared" ref="M221:N221" si="98">+M222+M223</f>
        <v>2000</v>
      </c>
      <c r="N221" s="137">
        <f t="shared" si="98"/>
        <v>8950</v>
      </c>
      <c r="O221" s="137">
        <f t="shared" ref="O221:P221" si="99">+O222+O223</f>
        <v>6099</v>
      </c>
      <c r="P221" s="137">
        <f t="shared" si="99"/>
        <v>5401</v>
      </c>
      <c r="Q221" s="87">
        <f t="shared" si="62"/>
        <v>-0.39653631284916202</v>
      </c>
      <c r="R221" s="173" t="s">
        <v>1125</v>
      </c>
      <c r="S221" s="88"/>
      <c r="T221" s="88"/>
      <c r="U221" s="88"/>
      <c r="Y221" s="53"/>
    </row>
    <row r="222" spans="1:25" ht="14.1" customHeight="1" x14ac:dyDescent="0.2">
      <c r="A222" s="89"/>
      <c r="B222" s="90">
        <v>4</v>
      </c>
      <c r="C222" s="72" t="s">
        <v>173</v>
      </c>
      <c r="D222" s="102">
        <v>4100</v>
      </c>
      <c r="E222" s="71"/>
      <c r="F222" s="74">
        <f t="shared" si="91"/>
        <v>4100</v>
      </c>
      <c r="G222" s="74"/>
      <c r="H222" s="74">
        <f t="shared" si="85"/>
        <v>4100</v>
      </c>
      <c r="I222" s="71">
        <v>2762</v>
      </c>
      <c r="J222" s="73">
        <v>4100</v>
      </c>
      <c r="K222" s="74"/>
      <c r="L222" s="142">
        <f>+K222+J222</f>
        <v>4100</v>
      </c>
      <c r="M222" s="142"/>
      <c r="N222" s="142">
        <f>+M222+L222</f>
        <v>4100</v>
      </c>
      <c r="O222" s="142">
        <v>1900</v>
      </c>
      <c r="P222" s="142">
        <v>2100</v>
      </c>
      <c r="Q222" s="87">
        <f t="shared" si="62"/>
        <v>-0.48780487804878048</v>
      </c>
      <c r="R222" s="88" t="s">
        <v>1407</v>
      </c>
      <c r="S222" s="88"/>
      <c r="T222" s="88"/>
      <c r="U222" s="88"/>
    </row>
    <row r="223" spans="1:25" ht="14.1" customHeight="1" x14ac:dyDescent="0.2">
      <c r="A223" s="89"/>
      <c r="B223" s="90">
        <v>55</v>
      </c>
      <c r="C223" s="72" t="s">
        <v>104</v>
      </c>
      <c r="D223" s="102">
        <v>1000</v>
      </c>
      <c r="E223" s="71"/>
      <c r="F223" s="74">
        <f t="shared" si="91"/>
        <v>1000</v>
      </c>
      <c r="G223" s="74"/>
      <c r="H223" s="74">
        <f t="shared" si="85"/>
        <v>1000</v>
      </c>
      <c r="I223" s="71">
        <v>216</v>
      </c>
      <c r="J223" s="73">
        <v>1000</v>
      </c>
      <c r="K223" s="74">
        <v>1850</v>
      </c>
      <c r="L223" s="74">
        <f>+K223+J223</f>
        <v>2850</v>
      </c>
      <c r="M223" s="92">
        <v>2000</v>
      </c>
      <c r="N223" s="141">
        <f>+M223+L223</f>
        <v>4850</v>
      </c>
      <c r="O223" s="141">
        <f>O224+O228</f>
        <v>4199</v>
      </c>
      <c r="P223" s="141">
        <f>P224+P228</f>
        <v>3301</v>
      </c>
      <c r="Q223" s="87">
        <f t="shared" si="62"/>
        <v>-0.31938144329896906</v>
      </c>
      <c r="R223" s="88"/>
      <c r="S223" s="88"/>
      <c r="T223" s="88"/>
    </row>
    <row r="224" spans="1:25" ht="14.1" customHeight="1" x14ac:dyDescent="0.2">
      <c r="A224" s="89"/>
      <c r="B224" s="174">
        <v>5511</v>
      </c>
      <c r="C224" s="103" t="s">
        <v>110</v>
      </c>
      <c r="D224" s="102"/>
      <c r="E224" s="71"/>
      <c r="F224" s="74"/>
      <c r="G224" s="74"/>
      <c r="H224" s="74"/>
      <c r="I224" s="71"/>
      <c r="J224" s="73"/>
      <c r="K224" s="74"/>
      <c r="L224" s="74"/>
      <c r="M224" s="92"/>
      <c r="N224" s="74"/>
      <c r="O224" s="74">
        <f>O225+O227+O226</f>
        <v>2824</v>
      </c>
      <c r="P224" s="67">
        <f>P225+P227</f>
        <v>801</v>
      </c>
      <c r="Q224" s="87"/>
      <c r="R224" s="88"/>
      <c r="S224" s="88"/>
      <c r="T224" s="88"/>
    </row>
    <row r="225" spans="1:24" ht="14.1" customHeight="1" x14ac:dyDescent="0.2">
      <c r="A225" s="89"/>
      <c r="B225" s="90"/>
      <c r="C225" s="154" t="s">
        <v>121</v>
      </c>
      <c r="D225" s="102"/>
      <c r="E225" s="71"/>
      <c r="F225" s="74"/>
      <c r="G225" s="74"/>
      <c r="H225" s="74"/>
      <c r="I225" s="71"/>
      <c r="J225" s="73"/>
      <c r="K225" s="74"/>
      <c r="L225" s="74"/>
      <c r="M225" s="92"/>
      <c r="N225" s="74"/>
      <c r="O225" s="153">
        <v>654</v>
      </c>
      <c r="P225" s="155">
        <v>720</v>
      </c>
      <c r="Q225" s="87"/>
      <c r="R225" s="88" t="s">
        <v>1134</v>
      </c>
      <c r="S225" s="88"/>
      <c r="T225" s="88"/>
    </row>
    <row r="226" spans="1:24" ht="14.1" customHeight="1" x14ac:dyDescent="0.2">
      <c r="A226" s="89"/>
      <c r="B226" s="90"/>
      <c r="C226" s="154" t="s">
        <v>126</v>
      </c>
      <c r="D226" s="102"/>
      <c r="E226" s="71"/>
      <c r="F226" s="74"/>
      <c r="G226" s="74"/>
      <c r="H226" s="74"/>
      <c r="I226" s="71"/>
      <c r="J226" s="73"/>
      <c r="K226" s="74"/>
      <c r="L226" s="74"/>
      <c r="M226" s="92"/>
      <c r="N226" s="74"/>
      <c r="O226" s="153">
        <v>2089</v>
      </c>
      <c r="P226" s="155"/>
      <c r="Q226" s="87"/>
      <c r="R226" s="111" t="s">
        <v>1569</v>
      </c>
      <c r="S226" s="88"/>
      <c r="T226" s="88"/>
    </row>
    <row r="227" spans="1:24" ht="14.1" customHeight="1" x14ac:dyDescent="0.2">
      <c r="A227" s="89"/>
      <c r="B227" s="90"/>
      <c r="C227" s="175" t="s">
        <v>127</v>
      </c>
      <c r="D227" s="102"/>
      <c r="E227" s="71"/>
      <c r="F227" s="74"/>
      <c r="G227" s="74"/>
      <c r="H227" s="74"/>
      <c r="I227" s="71"/>
      <c r="J227" s="73"/>
      <c r="K227" s="74"/>
      <c r="L227" s="74"/>
      <c r="M227" s="92"/>
      <c r="N227" s="74"/>
      <c r="O227" s="153">
        <v>81</v>
      </c>
      <c r="P227" s="155">
        <v>81</v>
      </c>
      <c r="Q227" s="87"/>
      <c r="R227" s="88" t="s">
        <v>1124</v>
      </c>
      <c r="S227" s="88"/>
      <c r="T227" s="88"/>
    </row>
    <row r="228" spans="1:24" ht="14.1" customHeight="1" x14ac:dyDescent="0.2">
      <c r="A228" s="89"/>
      <c r="B228" s="90">
        <v>5540</v>
      </c>
      <c r="C228" s="72" t="s">
        <v>618</v>
      </c>
      <c r="D228" s="102"/>
      <c r="E228" s="71"/>
      <c r="F228" s="74"/>
      <c r="G228" s="74"/>
      <c r="H228" s="74"/>
      <c r="I228" s="71"/>
      <c r="J228" s="73"/>
      <c r="K228" s="74"/>
      <c r="L228" s="74"/>
      <c r="M228" s="92"/>
      <c r="N228" s="74"/>
      <c r="O228" s="74">
        <v>1375</v>
      </c>
      <c r="P228" s="67">
        <v>2500</v>
      </c>
      <c r="Q228" s="87"/>
      <c r="R228" s="88" t="s">
        <v>1123</v>
      </c>
      <c r="S228" s="88"/>
      <c r="T228" s="88"/>
    </row>
    <row r="229" spans="1:24" ht="14.1" customHeight="1" x14ac:dyDescent="0.2">
      <c r="A229" s="146" t="s">
        <v>174</v>
      </c>
      <c r="B229" s="147"/>
      <c r="C229" s="148" t="s">
        <v>175</v>
      </c>
      <c r="D229" s="149">
        <v>185000</v>
      </c>
      <c r="E229" s="151">
        <f>+E230</f>
        <v>14000</v>
      </c>
      <c r="F229" s="137">
        <f t="shared" si="91"/>
        <v>199000</v>
      </c>
      <c r="G229" s="137">
        <v>0</v>
      </c>
      <c r="H229" s="137">
        <f>+H230</f>
        <v>199000</v>
      </c>
      <c r="I229" s="151">
        <f>+I230</f>
        <v>198807</v>
      </c>
      <c r="J229" s="152">
        <f>+J230</f>
        <v>200000</v>
      </c>
      <c r="K229" s="137">
        <f>+K230</f>
        <v>-25000</v>
      </c>
      <c r="L229" s="137">
        <f>+L230</f>
        <v>175000</v>
      </c>
      <c r="M229" s="137">
        <f t="shared" ref="M229:P229" si="100">+M230</f>
        <v>0</v>
      </c>
      <c r="N229" s="137">
        <f t="shared" si="100"/>
        <v>175000</v>
      </c>
      <c r="O229" s="137">
        <f t="shared" si="100"/>
        <v>125074</v>
      </c>
      <c r="P229" s="137">
        <f t="shared" si="100"/>
        <v>175000</v>
      </c>
      <c r="Q229" s="87">
        <f t="shared" si="62"/>
        <v>0</v>
      </c>
      <c r="R229" s="88"/>
      <c r="S229" s="88"/>
      <c r="T229" s="88"/>
    </row>
    <row r="230" spans="1:24" ht="14.1" customHeight="1" x14ac:dyDescent="0.2">
      <c r="A230" s="89"/>
      <c r="B230" s="90" t="s">
        <v>103</v>
      </c>
      <c r="C230" s="72" t="s">
        <v>176</v>
      </c>
      <c r="D230" s="43">
        <v>185000</v>
      </c>
      <c r="E230" s="71">
        <f>+E231+E232+E233+E234+E236</f>
        <v>14000</v>
      </c>
      <c r="F230" s="74">
        <f t="shared" si="91"/>
        <v>199000</v>
      </c>
      <c r="G230" s="74"/>
      <c r="H230" s="74">
        <f t="shared" si="85"/>
        <v>199000</v>
      </c>
      <c r="I230" s="71">
        <f>SUM(I231:I236)</f>
        <v>198807</v>
      </c>
      <c r="J230" s="73">
        <f>SUM(J231:J236)</f>
        <v>200000</v>
      </c>
      <c r="K230" s="73">
        <f>SUM(K231:K236)</f>
        <v>-25000</v>
      </c>
      <c r="L230" s="141">
        <f>SUM(L231:L236)</f>
        <v>175000</v>
      </c>
      <c r="M230" s="141">
        <f t="shared" ref="M230:N230" si="101">SUM(M231:M236)</f>
        <v>0</v>
      </c>
      <c r="N230" s="141">
        <f t="shared" si="101"/>
        <v>175000</v>
      </c>
      <c r="O230" s="141">
        <f t="shared" ref="O230:P230" si="102">SUM(O231:O236)</f>
        <v>125074</v>
      </c>
      <c r="P230" s="141">
        <f t="shared" si="102"/>
        <v>175000</v>
      </c>
      <c r="Q230" s="87">
        <f t="shared" si="62"/>
        <v>0</v>
      </c>
      <c r="R230" s="88"/>
    </row>
    <row r="231" spans="1:24" ht="13.5" customHeight="1" x14ac:dyDescent="0.2">
      <c r="A231" s="89"/>
      <c r="B231" s="90">
        <v>5500</v>
      </c>
      <c r="C231" s="72" t="s">
        <v>115</v>
      </c>
      <c r="D231" s="43"/>
      <c r="E231" s="71"/>
      <c r="F231" s="74">
        <f t="shared" si="91"/>
        <v>0</v>
      </c>
      <c r="G231" s="74"/>
      <c r="H231" s="74">
        <f t="shared" si="85"/>
        <v>0</v>
      </c>
      <c r="I231" s="71"/>
      <c r="J231" s="73"/>
      <c r="K231" s="74"/>
      <c r="L231" s="74"/>
      <c r="M231" s="74"/>
      <c r="N231" s="74"/>
      <c r="O231" s="74">
        <v>2571</v>
      </c>
      <c r="P231" s="67"/>
      <c r="Q231" s="87" t="e">
        <f t="shared" si="62"/>
        <v>#DIV/0!</v>
      </c>
      <c r="R231" s="88"/>
    </row>
    <row r="232" spans="1:24" ht="12.95" customHeight="1" x14ac:dyDescent="0.2">
      <c r="A232" s="89"/>
      <c r="B232" s="90">
        <v>5502</v>
      </c>
      <c r="C232" s="72" t="s">
        <v>177</v>
      </c>
      <c r="D232" s="102"/>
      <c r="E232" s="71">
        <v>14000</v>
      </c>
      <c r="F232" s="74"/>
      <c r="G232" s="74"/>
      <c r="H232" s="74">
        <f t="shared" si="85"/>
        <v>0</v>
      </c>
      <c r="I232" s="71">
        <v>187170</v>
      </c>
      <c r="J232" s="73">
        <v>200000</v>
      </c>
      <c r="K232" s="74">
        <v>-25000</v>
      </c>
      <c r="L232" s="74">
        <f>+K232+J232</f>
        <v>175000</v>
      </c>
      <c r="M232" s="74"/>
      <c r="N232" s="74">
        <f t="shared" ref="N232" si="103">+M232+L232</f>
        <v>175000</v>
      </c>
      <c r="O232" s="74">
        <v>121291</v>
      </c>
      <c r="P232" s="67">
        <f>150000+25000</f>
        <v>175000</v>
      </c>
      <c r="Q232" s="87">
        <f t="shared" si="62"/>
        <v>0</v>
      </c>
      <c r="R232" s="88" t="s">
        <v>1424</v>
      </c>
      <c r="W232" s="88"/>
    </row>
    <row r="233" spans="1:24" ht="14.1" hidden="1" customHeight="1" x14ac:dyDescent="0.2">
      <c r="A233" s="89"/>
      <c r="B233" s="90">
        <v>5511</v>
      </c>
      <c r="C233" s="72" t="s">
        <v>110</v>
      </c>
      <c r="D233" s="102"/>
      <c r="E233" s="71"/>
      <c r="F233" s="74">
        <f t="shared" ref="F233:F258" si="104">+E233+D233</f>
        <v>0</v>
      </c>
      <c r="G233" s="74"/>
      <c r="H233" s="74">
        <f t="shared" si="85"/>
        <v>0</v>
      </c>
      <c r="I233" s="71"/>
      <c r="J233" s="73"/>
      <c r="K233" s="74"/>
      <c r="L233" s="74"/>
      <c r="M233" s="74"/>
      <c r="N233" s="74"/>
      <c r="O233" s="74"/>
      <c r="P233" s="67"/>
      <c r="Q233" s="87" t="e">
        <f t="shared" si="62"/>
        <v>#DIV/0!</v>
      </c>
      <c r="R233" s="88"/>
    </row>
    <row r="234" spans="1:24" ht="14.1" hidden="1" customHeight="1" x14ac:dyDescent="0.2">
      <c r="A234" s="89"/>
      <c r="B234" s="90">
        <v>5514</v>
      </c>
      <c r="C234" s="72" t="s">
        <v>112</v>
      </c>
      <c r="D234" s="43"/>
      <c r="E234" s="71"/>
      <c r="F234" s="74">
        <f t="shared" si="104"/>
        <v>0</v>
      </c>
      <c r="G234" s="74"/>
      <c r="H234" s="74">
        <f t="shared" ref="H234:H258" si="105">+G234+F234</f>
        <v>0</v>
      </c>
      <c r="I234" s="71">
        <v>528</v>
      </c>
      <c r="J234" s="73"/>
      <c r="K234" s="74"/>
      <c r="L234" s="74"/>
      <c r="M234" s="74"/>
      <c r="N234" s="74"/>
      <c r="O234" s="74"/>
      <c r="P234" s="67"/>
      <c r="Q234" s="87" t="e">
        <f t="shared" si="62"/>
        <v>#DIV/0!</v>
      </c>
      <c r="R234" s="88"/>
    </row>
    <row r="235" spans="1:24" ht="14.1" hidden="1" customHeight="1" x14ac:dyDescent="0.2">
      <c r="A235" s="89"/>
      <c r="B235" s="90">
        <v>5525</v>
      </c>
      <c r="C235" s="72" t="s">
        <v>139</v>
      </c>
      <c r="D235" s="43"/>
      <c r="E235" s="71"/>
      <c r="F235" s="74">
        <f t="shared" si="104"/>
        <v>0</v>
      </c>
      <c r="G235" s="74"/>
      <c r="H235" s="74">
        <f t="shared" si="105"/>
        <v>0</v>
      </c>
      <c r="I235" s="71">
        <v>1209</v>
      </c>
      <c r="J235" s="73"/>
      <c r="K235" s="74"/>
      <c r="L235" s="74"/>
      <c r="M235" s="74"/>
      <c r="N235" s="74"/>
      <c r="O235" s="74"/>
      <c r="P235" s="67"/>
      <c r="Q235" s="87" t="e">
        <f t="shared" si="62"/>
        <v>#DIV/0!</v>
      </c>
      <c r="R235" s="88"/>
    </row>
    <row r="236" spans="1:24" ht="14.1" customHeight="1" x14ac:dyDescent="0.2">
      <c r="A236" s="89"/>
      <c r="B236" s="90">
        <v>5540</v>
      </c>
      <c r="C236" s="72" t="s">
        <v>618</v>
      </c>
      <c r="D236" s="43"/>
      <c r="E236" s="71"/>
      <c r="F236" s="74">
        <f t="shared" si="104"/>
        <v>0</v>
      </c>
      <c r="G236" s="74"/>
      <c r="H236" s="74">
        <f t="shared" si="105"/>
        <v>0</v>
      </c>
      <c r="I236" s="71">
        <v>9900</v>
      </c>
      <c r="J236" s="73"/>
      <c r="K236" s="74"/>
      <c r="L236" s="74"/>
      <c r="M236" s="74"/>
      <c r="N236" s="74"/>
      <c r="O236" s="74">
        <v>1212</v>
      </c>
      <c r="P236" s="67"/>
      <c r="Q236" s="87" t="e">
        <f t="shared" si="62"/>
        <v>#DIV/0!</v>
      </c>
      <c r="R236" s="88"/>
    </row>
    <row r="237" spans="1:24" s="53" customFormat="1" ht="14.1" customHeight="1" x14ac:dyDescent="0.2">
      <c r="A237" s="146" t="s">
        <v>178</v>
      </c>
      <c r="B237" s="147"/>
      <c r="C237" s="148" t="s">
        <v>179</v>
      </c>
      <c r="D237" s="149">
        <v>465248</v>
      </c>
      <c r="E237" s="151">
        <f>+E238+E239</f>
        <v>3478.4</v>
      </c>
      <c r="F237" s="137">
        <f t="shared" si="104"/>
        <v>468726.4</v>
      </c>
      <c r="G237" s="137">
        <f t="shared" ref="G237:L237" si="106">+G238+G239</f>
        <v>13800</v>
      </c>
      <c r="H237" s="137">
        <f t="shared" si="106"/>
        <v>482526.4</v>
      </c>
      <c r="I237" s="151">
        <f t="shared" si="106"/>
        <v>375814.19</v>
      </c>
      <c r="J237" s="152">
        <f t="shared" si="106"/>
        <v>661506</v>
      </c>
      <c r="K237" s="137">
        <f t="shared" si="106"/>
        <v>-13000</v>
      </c>
      <c r="L237" s="137">
        <f t="shared" si="106"/>
        <v>648506</v>
      </c>
      <c r="M237" s="137">
        <f t="shared" ref="M237:N237" si="107">+M238+M239</f>
        <v>15822</v>
      </c>
      <c r="N237" s="137">
        <f t="shared" si="107"/>
        <v>664328</v>
      </c>
      <c r="O237" s="137">
        <f t="shared" ref="O237:P237" si="108">+O238+O239</f>
        <v>532358</v>
      </c>
      <c r="P237" s="137">
        <f t="shared" si="108"/>
        <v>820028</v>
      </c>
      <c r="Q237" s="87">
        <f t="shared" ref="Q237:Q314" si="109">(P237-N237)/N237</f>
        <v>0.23437217759901735</v>
      </c>
      <c r="T237" s="56"/>
      <c r="U237" s="56"/>
      <c r="V237" s="56"/>
      <c r="W237" s="56"/>
      <c r="X237" s="56"/>
    </row>
    <row r="238" spans="1:24" s="167" customFormat="1" ht="14.1" customHeight="1" x14ac:dyDescent="0.2">
      <c r="A238" s="176"/>
      <c r="B238" s="177">
        <v>50</v>
      </c>
      <c r="C238" s="178" t="s">
        <v>102</v>
      </c>
      <c r="D238" s="43">
        <v>357108</v>
      </c>
      <c r="E238" s="71">
        <v>3478.4</v>
      </c>
      <c r="F238" s="74">
        <f t="shared" si="104"/>
        <v>360586.4</v>
      </c>
      <c r="G238" s="74">
        <v>13800</v>
      </c>
      <c r="H238" s="74">
        <f t="shared" si="105"/>
        <v>374386.4</v>
      </c>
      <c r="I238" s="71">
        <v>312729</v>
      </c>
      <c r="J238" s="73">
        <v>576306</v>
      </c>
      <c r="K238" s="74">
        <v>0</v>
      </c>
      <c r="L238" s="140">
        <f>SUM(J238:K238)</f>
        <v>576306</v>
      </c>
      <c r="M238" s="92">
        <v>1890</v>
      </c>
      <c r="N238" s="140">
        <f t="shared" ref="N238" si="110">+M238+L238</f>
        <v>578196</v>
      </c>
      <c r="O238" s="140">
        <v>438677</v>
      </c>
      <c r="P238" s="140">
        <v>717651</v>
      </c>
      <c r="Q238" s="87">
        <f t="shared" si="109"/>
        <v>0.24118983873980449</v>
      </c>
      <c r="R238" s="56" t="s">
        <v>1235</v>
      </c>
      <c r="S238" s="56"/>
      <c r="T238" s="56"/>
      <c r="U238" s="56"/>
      <c r="V238" s="56"/>
      <c r="W238" s="56"/>
      <c r="X238" s="56"/>
    </row>
    <row r="239" spans="1:24" ht="14.1" customHeight="1" x14ac:dyDescent="0.2">
      <c r="A239" s="89"/>
      <c r="B239" s="95">
        <v>55</v>
      </c>
      <c r="C239" s="96" t="s">
        <v>104</v>
      </c>
      <c r="D239" s="43">
        <v>108140</v>
      </c>
      <c r="E239" s="71"/>
      <c r="F239" s="74">
        <f t="shared" si="104"/>
        <v>108140</v>
      </c>
      <c r="G239" s="74"/>
      <c r="H239" s="74">
        <f t="shared" si="105"/>
        <v>108140</v>
      </c>
      <c r="I239" s="71">
        <f>+I240+I242+I243+I244+I254+I255+I256+I257+I258+I260+I261</f>
        <v>63085.19</v>
      </c>
      <c r="J239" s="73">
        <f>+J240+J242+J243+J244+J254+J255+J256+J257+J258+J261</f>
        <v>85200</v>
      </c>
      <c r="K239" s="73">
        <f>+K240+K242+K243+K244+K254+K255+K256+K257+K258+K261</f>
        <v>-13000</v>
      </c>
      <c r="L239" s="141">
        <f>+L240+L242+L243+L244+L254+L255+L256+L257+L258+L261</f>
        <v>72200</v>
      </c>
      <c r="M239" s="141">
        <f t="shared" ref="M239" si="111">+M240+M242+M243+M244+M254+M255+M256+M257+M258+M261</f>
        <v>13932</v>
      </c>
      <c r="N239" s="141">
        <f>+N240+N242+N243+N244+N254+N255+N256+N257+N258+N261+N259+N241+N260</f>
        <v>86132</v>
      </c>
      <c r="O239" s="141">
        <f>+O240+O242+O243+O244+O254+O255+O256+O257+O258+O261+O259+O241+O260</f>
        <v>93681</v>
      </c>
      <c r="P239" s="141">
        <f>+P240+P242+P243+P244+P254+P255+P256+P257+P258+P261+P259+P241+P260</f>
        <v>102377</v>
      </c>
      <c r="Q239" s="87">
        <f t="shared" si="109"/>
        <v>0.18860586077183858</v>
      </c>
      <c r="R239" s="88"/>
    </row>
    <row r="240" spans="1:24" ht="14.1" customHeight="1" x14ac:dyDescent="0.2">
      <c r="A240" s="89"/>
      <c r="B240" s="90">
        <v>5500</v>
      </c>
      <c r="C240" s="72" t="s">
        <v>180</v>
      </c>
      <c r="D240" s="102">
        <v>18660</v>
      </c>
      <c r="E240" s="71"/>
      <c r="F240" s="74">
        <f t="shared" si="104"/>
        <v>18660</v>
      </c>
      <c r="G240" s="74"/>
      <c r="H240" s="74">
        <f t="shared" si="105"/>
        <v>18660</v>
      </c>
      <c r="I240" s="71">
        <v>7089</v>
      </c>
      <c r="J240" s="73">
        <v>18000</v>
      </c>
      <c r="K240" s="74">
        <v>0</v>
      </c>
      <c r="L240" s="74">
        <f>+K240+J240</f>
        <v>18000</v>
      </c>
      <c r="M240" s="74"/>
      <c r="N240" s="74">
        <f t="shared" ref="N240:N258" si="112">+M240+L240</f>
        <v>18000</v>
      </c>
      <c r="O240" s="74">
        <v>4468</v>
      </c>
      <c r="P240" s="67">
        <v>10800</v>
      </c>
      <c r="Q240" s="87">
        <f t="shared" si="109"/>
        <v>-0.4</v>
      </c>
      <c r="R240" s="88"/>
    </row>
    <row r="241" spans="1:21" ht="14.1" customHeight="1" x14ac:dyDescent="0.2">
      <c r="A241" s="89"/>
      <c r="B241" s="90">
        <v>5502</v>
      </c>
      <c r="C241" s="72" t="s">
        <v>177</v>
      </c>
      <c r="D241" s="102"/>
      <c r="E241" s="71"/>
      <c r="F241" s="74"/>
      <c r="G241" s="74"/>
      <c r="H241" s="74"/>
      <c r="I241" s="71"/>
      <c r="J241" s="73"/>
      <c r="K241" s="74"/>
      <c r="L241" s="74"/>
      <c r="M241" s="74"/>
      <c r="N241" s="74"/>
      <c r="O241" s="74">
        <v>16800</v>
      </c>
      <c r="P241" s="67"/>
      <c r="Q241" s="87"/>
      <c r="R241" s="59" t="s">
        <v>1570</v>
      </c>
    </row>
    <row r="242" spans="1:21" ht="14.1" customHeight="1" x14ac:dyDescent="0.2">
      <c r="A242" s="89"/>
      <c r="B242" s="90">
        <v>5503</v>
      </c>
      <c r="C242" s="72" t="s">
        <v>107</v>
      </c>
      <c r="D242" s="102">
        <v>0</v>
      </c>
      <c r="E242" s="71"/>
      <c r="F242" s="74">
        <f t="shared" si="104"/>
        <v>0</v>
      </c>
      <c r="G242" s="74"/>
      <c r="H242" s="74">
        <f t="shared" si="105"/>
        <v>0</v>
      </c>
      <c r="I242" s="71">
        <v>1013</v>
      </c>
      <c r="J242" s="73"/>
      <c r="K242" s="74"/>
      <c r="L242" s="74">
        <f t="shared" ref="L242:L261" si="113">+K242+J242</f>
        <v>0</v>
      </c>
      <c r="M242" s="92">
        <v>932</v>
      </c>
      <c r="N242" s="74">
        <f t="shared" si="112"/>
        <v>932</v>
      </c>
      <c r="O242" s="74">
        <v>3779</v>
      </c>
      <c r="P242" s="67">
        <v>3000</v>
      </c>
      <c r="Q242" s="87">
        <f t="shared" si="109"/>
        <v>2.218884120171674</v>
      </c>
      <c r="R242" s="88"/>
    </row>
    <row r="243" spans="1:21" ht="14.1" customHeight="1" x14ac:dyDescent="0.2">
      <c r="A243" s="89"/>
      <c r="B243" s="90">
        <v>5504</v>
      </c>
      <c r="C243" s="72" t="s">
        <v>118</v>
      </c>
      <c r="D243" s="102">
        <v>5000</v>
      </c>
      <c r="E243" s="71"/>
      <c r="F243" s="74">
        <f t="shared" si="104"/>
        <v>5000</v>
      </c>
      <c r="G243" s="74"/>
      <c r="H243" s="74">
        <f t="shared" si="105"/>
        <v>5000</v>
      </c>
      <c r="I243" s="71">
        <v>1899</v>
      </c>
      <c r="J243" s="73">
        <v>12000</v>
      </c>
      <c r="K243" s="74">
        <v>-5000</v>
      </c>
      <c r="L243" s="74">
        <f t="shared" si="113"/>
        <v>7000</v>
      </c>
      <c r="M243" s="74"/>
      <c r="N243" s="74">
        <f t="shared" si="112"/>
        <v>7000</v>
      </c>
      <c r="O243" s="74">
        <v>13868</v>
      </c>
      <c r="P243" s="67">
        <v>5700</v>
      </c>
      <c r="Q243" s="87">
        <f t="shared" si="109"/>
        <v>-0.18571428571428572</v>
      </c>
      <c r="R243" s="88" t="s">
        <v>1234</v>
      </c>
    </row>
    <row r="244" spans="1:21" ht="14.1" customHeight="1" x14ac:dyDescent="0.2">
      <c r="A244" s="89"/>
      <c r="B244" s="90">
        <v>5511</v>
      </c>
      <c r="C244" s="72" t="s">
        <v>1597</v>
      </c>
      <c r="D244" s="102">
        <v>31880</v>
      </c>
      <c r="E244" s="71"/>
      <c r="F244" s="74">
        <f t="shared" si="104"/>
        <v>31880</v>
      </c>
      <c r="G244" s="74"/>
      <c r="H244" s="74">
        <f t="shared" si="105"/>
        <v>31880</v>
      </c>
      <c r="I244" s="71">
        <f>+I246+I247+I248+I249+I250+I251+I253</f>
        <v>12391.19</v>
      </c>
      <c r="J244" s="73">
        <f>SUM(J246:J253)</f>
        <v>13000</v>
      </c>
      <c r="K244" s="74"/>
      <c r="L244" s="74">
        <f>SUM(L246:L253)</f>
        <v>13000</v>
      </c>
      <c r="M244" s="74">
        <f t="shared" ref="M244" si="114">SUM(M246:M253)</f>
        <v>0</v>
      </c>
      <c r="N244" s="74">
        <f>SUM(N245:N253)</f>
        <v>13000</v>
      </c>
      <c r="O244" s="74">
        <f>SUM(O245:O253)</f>
        <v>8354</v>
      </c>
      <c r="P244" s="67">
        <f>SUM(P245:P253)</f>
        <v>14577</v>
      </c>
      <c r="Q244" s="87">
        <f t="shared" si="109"/>
        <v>0.12130769230769231</v>
      </c>
      <c r="R244" s="88"/>
    </row>
    <row r="245" spans="1:21" ht="14.1" customHeight="1" x14ac:dyDescent="0.2">
      <c r="A245" s="89"/>
      <c r="B245" s="90"/>
      <c r="C245" s="154" t="s">
        <v>120</v>
      </c>
      <c r="D245" s="102"/>
      <c r="E245" s="71"/>
      <c r="F245" s="74"/>
      <c r="G245" s="74"/>
      <c r="H245" s="74"/>
      <c r="I245" s="71"/>
      <c r="J245" s="73"/>
      <c r="K245" s="74"/>
      <c r="L245" s="74"/>
      <c r="M245" s="74"/>
      <c r="N245" s="74"/>
      <c r="O245" s="74">
        <v>1138</v>
      </c>
      <c r="P245" s="155">
        <v>1800</v>
      </c>
      <c r="Q245" s="87"/>
      <c r="R245" s="88" t="s">
        <v>1229</v>
      </c>
    </row>
    <row r="246" spans="1:21" ht="14.1" customHeight="1" x14ac:dyDescent="0.2">
      <c r="A246" s="89"/>
      <c r="B246" s="90"/>
      <c r="C246" s="154" t="s">
        <v>121</v>
      </c>
      <c r="D246" s="157">
        <v>0</v>
      </c>
      <c r="E246" s="158"/>
      <c r="F246" s="153">
        <f t="shared" si="104"/>
        <v>0</v>
      </c>
      <c r="G246" s="153"/>
      <c r="H246" s="153">
        <f t="shared" si="105"/>
        <v>0</v>
      </c>
      <c r="I246" s="179">
        <v>2272.5300000000002</v>
      </c>
      <c r="J246" s="159">
        <v>2000</v>
      </c>
      <c r="K246" s="153"/>
      <c r="L246" s="153">
        <f t="shared" si="113"/>
        <v>2000</v>
      </c>
      <c r="M246" s="153"/>
      <c r="N246" s="153">
        <f t="shared" si="112"/>
        <v>2000</v>
      </c>
      <c r="O246" s="153">
        <v>2613</v>
      </c>
      <c r="P246" s="155">
        <v>5000</v>
      </c>
      <c r="Q246" s="87">
        <f t="shared" si="109"/>
        <v>1.5</v>
      </c>
      <c r="R246" s="88" t="s">
        <v>1230</v>
      </c>
    </row>
    <row r="247" spans="1:21" ht="14.1" customHeight="1" x14ac:dyDescent="0.2">
      <c r="A247" s="89"/>
      <c r="B247" s="90"/>
      <c r="C247" s="154" t="s">
        <v>122</v>
      </c>
      <c r="D247" s="157">
        <v>0</v>
      </c>
      <c r="E247" s="158"/>
      <c r="F247" s="153">
        <f t="shared" si="104"/>
        <v>0</v>
      </c>
      <c r="G247" s="153"/>
      <c r="H247" s="153">
        <f t="shared" si="105"/>
        <v>0</v>
      </c>
      <c r="I247" s="179">
        <v>21.55</v>
      </c>
      <c r="J247" s="159"/>
      <c r="K247" s="153"/>
      <c r="L247" s="153">
        <f t="shared" si="113"/>
        <v>0</v>
      </c>
      <c r="M247" s="153"/>
      <c r="N247" s="153">
        <f t="shared" si="112"/>
        <v>0</v>
      </c>
      <c r="O247" s="153">
        <v>20</v>
      </c>
      <c r="P247" s="155">
        <v>70</v>
      </c>
      <c r="Q247" s="87" t="e">
        <f t="shared" si="109"/>
        <v>#DIV/0!</v>
      </c>
      <c r="R247" s="88" t="s">
        <v>1231</v>
      </c>
    </row>
    <row r="248" spans="1:21" ht="14.1" customHeight="1" x14ac:dyDescent="0.2">
      <c r="A248" s="89"/>
      <c r="B248" s="90"/>
      <c r="C248" s="154" t="s">
        <v>123</v>
      </c>
      <c r="D248" s="157">
        <v>11880</v>
      </c>
      <c r="E248" s="158"/>
      <c r="F248" s="153">
        <f t="shared" si="104"/>
        <v>11880</v>
      </c>
      <c r="G248" s="153"/>
      <c r="H248" s="153">
        <f t="shared" si="105"/>
        <v>11880</v>
      </c>
      <c r="I248" s="179">
        <v>8762.11</v>
      </c>
      <c r="J248" s="159">
        <v>10000</v>
      </c>
      <c r="K248" s="153"/>
      <c r="L248" s="153">
        <f t="shared" si="113"/>
        <v>10000</v>
      </c>
      <c r="M248" s="153"/>
      <c r="N248" s="153">
        <f t="shared" si="112"/>
        <v>10000</v>
      </c>
      <c r="O248" s="153">
        <v>3745</v>
      </c>
      <c r="P248" s="155">
        <v>5000</v>
      </c>
      <c r="Q248" s="87">
        <f t="shared" si="109"/>
        <v>-0.5</v>
      </c>
      <c r="R248" s="88" t="s">
        <v>1232</v>
      </c>
    </row>
    <row r="249" spans="1:21" ht="14.1" customHeight="1" x14ac:dyDescent="0.2">
      <c r="A249" s="89"/>
      <c r="B249" s="90"/>
      <c r="C249" s="154" t="s">
        <v>124</v>
      </c>
      <c r="D249" s="157">
        <v>0</v>
      </c>
      <c r="E249" s="158"/>
      <c r="F249" s="153">
        <f t="shared" si="104"/>
        <v>0</v>
      </c>
      <c r="G249" s="153"/>
      <c r="H249" s="153">
        <f t="shared" si="105"/>
        <v>0</v>
      </c>
      <c r="I249" s="154">
        <v>666</v>
      </c>
      <c r="J249" s="159">
        <v>1000</v>
      </c>
      <c r="K249" s="153"/>
      <c r="L249" s="153">
        <f t="shared" si="113"/>
        <v>1000</v>
      </c>
      <c r="M249" s="153"/>
      <c r="N249" s="153">
        <f t="shared" si="112"/>
        <v>1000</v>
      </c>
      <c r="O249" s="153"/>
      <c r="P249" s="155">
        <v>0</v>
      </c>
      <c r="Q249" s="87">
        <f t="shared" si="109"/>
        <v>-1</v>
      </c>
      <c r="R249" s="88"/>
      <c r="S249" s="49"/>
    </row>
    <row r="250" spans="1:21" ht="14.1" customHeight="1" x14ac:dyDescent="0.2">
      <c r="A250" s="89"/>
      <c r="B250" s="90"/>
      <c r="C250" s="154" t="s">
        <v>181</v>
      </c>
      <c r="D250" s="157">
        <v>0</v>
      </c>
      <c r="E250" s="158"/>
      <c r="F250" s="153">
        <f t="shared" si="104"/>
        <v>0</v>
      </c>
      <c r="G250" s="153"/>
      <c r="H250" s="153">
        <f t="shared" si="105"/>
        <v>0</v>
      </c>
      <c r="I250" s="158"/>
      <c r="J250" s="159"/>
      <c r="K250" s="153"/>
      <c r="L250" s="153">
        <f t="shared" si="113"/>
        <v>0</v>
      </c>
      <c r="M250" s="153"/>
      <c r="N250" s="153">
        <f t="shared" si="112"/>
        <v>0</v>
      </c>
      <c r="O250" s="153"/>
      <c r="P250" s="155">
        <f>+N250+M250</f>
        <v>0</v>
      </c>
      <c r="Q250" s="87" t="e">
        <f t="shared" si="109"/>
        <v>#DIV/0!</v>
      </c>
      <c r="R250" s="88"/>
      <c r="S250" s="49"/>
    </row>
    <row r="251" spans="1:21" ht="14.1" customHeight="1" x14ac:dyDescent="0.2">
      <c r="A251" s="89"/>
      <c r="B251" s="90"/>
      <c r="C251" s="154" t="s">
        <v>126</v>
      </c>
      <c r="D251" s="157">
        <v>20000</v>
      </c>
      <c r="E251" s="158"/>
      <c r="F251" s="153">
        <f t="shared" si="104"/>
        <v>20000</v>
      </c>
      <c r="G251" s="153"/>
      <c r="H251" s="153">
        <f t="shared" si="105"/>
        <v>20000</v>
      </c>
      <c r="I251" s="158"/>
      <c r="J251" s="159"/>
      <c r="K251" s="153"/>
      <c r="L251" s="153">
        <f t="shared" si="113"/>
        <v>0</v>
      </c>
      <c r="M251" s="153"/>
      <c r="N251" s="153">
        <f t="shared" si="112"/>
        <v>0</v>
      </c>
      <c r="O251" s="153">
        <v>32</v>
      </c>
      <c r="P251" s="155">
        <v>2500</v>
      </c>
      <c r="Q251" s="87" t="e">
        <f t="shared" si="109"/>
        <v>#DIV/0!</v>
      </c>
      <c r="R251" s="88" t="s">
        <v>1391</v>
      </c>
      <c r="S251" s="49"/>
    </row>
    <row r="252" spans="1:21" ht="14.1" customHeight="1" x14ac:dyDescent="0.2">
      <c r="A252" s="89"/>
      <c r="B252" s="90"/>
      <c r="C252" s="154" t="s">
        <v>283</v>
      </c>
      <c r="D252" s="157"/>
      <c r="E252" s="158"/>
      <c r="F252" s="153"/>
      <c r="G252" s="153"/>
      <c r="H252" s="153"/>
      <c r="I252" s="158"/>
      <c r="J252" s="159"/>
      <c r="K252" s="153"/>
      <c r="L252" s="153"/>
      <c r="M252" s="153"/>
      <c r="N252" s="153"/>
      <c r="O252" s="153">
        <v>215</v>
      </c>
      <c r="P252" s="155">
        <v>207</v>
      </c>
      <c r="Q252" s="87"/>
      <c r="R252" s="88" t="s">
        <v>1233</v>
      </c>
      <c r="S252" s="49"/>
    </row>
    <row r="253" spans="1:21" ht="14.1" customHeight="1" x14ac:dyDescent="0.2">
      <c r="A253" s="89"/>
      <c r="B253" s="90"/>
      <c r="C253" s="154" t="s">
        <v>182</v>
      </c>
      <c r="D253" s="157">
        <v>0</v>
      </c>
      <c r="E253" s="158"/>
      <c r="F253" s="153">
        <f t="shared" si="104"/>
        <v>0</v>
      </c>
      <c r="G253" s="153"/>
      <c r="H253" s="153">
        <f t="shared" si="105"/>
        <v>0</v>
      </c>
      <c r="I253" s="158">
        <v>669</v>
      </c>
      <c r="J253" s="159"/>
      <c r="K253" s="153"/>
      <c r="L253" s="153">
        <f t="shared" si="113"/>
        <v>0</v>
      </c>
      <c r="M253" s="153"/>
      <c r="N253" s="153">
        <f t="shared" si="112"/>
        <v>0</v>
      </c>
      <c r="O253" s="153">
        <v>591</v>
      </c>
      <c r="P253" s="155">
        <f>+N253+M253</f>
        <v>0</v>
      </c>
      <c r="Q253" s="87" t="e">
        <f t="shared" si="109"/>
        <v>#DIV/0!</v>
      </c>
      <c r="R253" s="88"/>
      <c r="S253" s="49"/>
    </row>
    <row r="254" spans="1:21" ht="14.1" customHeight="1" x14ac:dyDescent="0.2">
      <c r="A254" s="89"/>
      <c r="B254" s="90">
        <v>5512</v>
      </c>
      <c r="C254" s="72" t="s">
        <v>183</v>
      </c>
      <c r="D254" s="102">
        <v>0</v>
      </c>
      <c r="E254" s="71"/>
      <c r="F254" s="153">
        <f t="shared" si="104"/>
        <v>0</v>
      </c>
      <c r="G254" s="153"/>
      <c r="H254" s="153">
        <f t="shared" si="105"/>
        <v>0</v>
      </c>
      <c r="I254" s="158"/>
      <c r="J254" s="159"/>
      <c r="K254" s="153"/>
      <c r="L254" s="74">
        <f t="shared" si="113"/>
        <v>0</v>
      </c>
      <c r="M254" s="74"/>
      <c r="N254" s="74">
        <f t="shared" si="112"/>
        <v>0</v>
      </c>
      <c r="O254" s="74">
        <v>272</v>
      </c>
      <c r="P254" s="67">
        <v>300</v>
      </c>
      <c r="Q254" s="87" t="e">
        <f t="shared" si="109"/>
        <v>#DIV/0!</v>
      </c>
      <c r="R254" s="88" t="s">
        <v>1423</v>
      </c>
      <c r="S254" s="49"/>
    </row>
    <row r="255" spans="1:21" ht="14.1" customHeight="1" x14ac:dyDescent="0.2">
      <c r="A255" s="89"/>
      <c r="B255" s="90">
        <v>5513</v>
      </c>
      <c r="C255" s="72" t="s">
        <v>130</v>
      </c>
      <c r="D255" s="102">
        <v>16700</v>
      </c>
      <c r="E255" s="71"/>
      <c r="F255" s="74">
        <f t="shared" si="104"/>
        <v>16700</v>
      </c>
      <c r="G255" s="74"/>
      <c r="H255" s="74">
        <f t="shared" si="105"/>
        <v>16700</v>
      </c>
      <c r="I255" s="71">
        <v>10214</v>
      </c>
      <c r="J255" s="73">
        <v>16700</v>
      </c>
      <c r="K255" s="74">
        <v>0</v>
      </c>
      <c r="L255" s="74">
        <f t="shared" si="113"/>
        <v>16700</v>
      </c>
      <c r="M255" s="92">
        <v>5000</v>
      </c>
      <c r="N255" s="74">
        <f t="shared" si="112"/>
        <v>21700</v>
      </c>
      <c r="O255" s="74">
        <v>22338</v>
      </c>
      <c r="P255" s="67">
        <v>17000</v>
      </c>
      <c r="Q255" s="87">
        <f t="shared" si="109"/>
        <v>-0.21658986175115208</v>
      </c>
      <c r="R255" s="88" t="s">
        <v>1386</v>
      </c>
      <c r="S255" s="49"/>
      <c r="U255" s="56" t="s">
        <v>1228</v>
      </c>
    </row>
    <row r="256" spans="1:21" ht="14.1" customHeight="1" x14ac:dyDescent="0.2">
      <c r="A256" s="89"/>
      <c r="B256" s="90">
        <v>5514</v>
      </c>
      <c r="C256" s="72" t="s">
        <v>112</v>
      </c>
      <c r="D256" s="102">
        <v>14400</v>
      </c>
      <c r="E256" s="71"/>
      <c r="F256" s="74">
        <f t="shared" si="104"/>
        <v>14400</v>
      </c>
      <c r="G256" s="74"/>
      <c r="H256" s="74">
        <f t="shared" si="105"/>
        <v>14400</v>
      </c>
      <c r="I256" s="71">
        <v>16924</v>
      </c>
      <c r="J256" s="73">
        <v>14000</v>
      </c>
      <c r="K256" s="74">
        <v>-5000</v>
      </c>
      <c r="L256" s="74">
        <f t="shared" si="113"/>
        <v>9000</v>
      </c>
      <c r="M256" s="92">
        <v>8000</v>
      </c>
      <c r="N256" s="74">
        <f t="shared" si="112"/>
        <v>17000</v>
      </c>
      <c r="O256" s="74">
        <v>13941</v>
      </c>
      <c r="P256" s="67">
        <v>42500</v>
      </c>
      <c r="Q256" s="87">
        <f t="shared" si="109"/>
        <v>1.5</v>
      </c>
      <c r="R256" s="88" t="s">
        <v>1224</v>
      </c>
      <c r="S256" s="49"/>
    </row>
    <row r="257" spans="1:18" ht="14.1" customHeight="1" x14ac:dyDescent="0.2">
      <c r="A257" s="89"/>
      <c r="B257" s="90">
        <v>5515</v>
      </c>
      <c r="C257" s="72" t="s">
        <v>133</v>
      </c>
      <c r="D257" s="102">
        <v>15000</v>
      </c>
      <c r="E257" s="71"/>
      <c r="F257" s="74">
        <f t="shared" si="104"/>
        <v>15000</v>
      </c>
      <c r="G257" s="74"/>
      <c r="H257" s="74">
        <f t="shared" si="105"/>
        <v>15000</v>
      </c>
      <c r="I257" s="71">
        <v>3902</v>
      </c>
      <c r="J257" s="73">
        <v>5000</v>
      </c>
      <c r="K257" s="74">
        <v>-3000</v>
      </c>
      <c r="L257" s="74">
        <f t="shared" si="113"/>
        <v>2000</v>
      </c>
      <c r="M257" s="74"/>
      <c r="N257" s="74">
        <f t="shared" si="112"/>
        <v>2000</v>
      </c>
      <c r="O257" s="74">
        <v>6998</v>
      </c>
      <c r="P257" s="67">
        <v>3500</v>
      </c>
      <c r="Q257" s="87">
        <f t="shared" si="109"/>
        <v>0.75</v>
      </c>
      <c r="R257" s="88" t="s">
        <v>1225</v>
      </c>
    </row>
    <row r="258" spans="1:18" ht="14.1" customHeight="1" x14ac:dyDescent="0.2">
      <c r="A258" s="89"/>
      <c r="B258" s="90">
        <v>5522</v>
      </c>
      <c r="C258" s="72" t="s">
        <v>137</v>
      </c>
      <c r="D258" s="102">
        <v>1000</v>
      </c>
      <c r="E258" s="71"/>
      <c r="F258" s="74">
        <f t="shared" si="104"/>
        <v>1000</v>
      </c>
      <c r="G258" s="74"/>
      <c r="H258" s="74">
        <f t="shared" si="105"/>
        <v>1000</v>
      </c>
      <c r="I258" s="71">
        <v>463</v>
      </c>
      <c r="J258" s="73">
        <v>1000</v>
      </c>
      <c r="K258" s="74"/>
      <c r="L258" s="74">
        <f t="shared" si="113"/>
        <v>1000</v>
      </c>
      <c r="M258" s="74"/>
      <c r="N258" s="74">
        <f t="shared" si="112"/>
        <v>1000</v>
      </c>
      <c r="O258" s="74">
        <v>1130</v>
      </c>
      <c r="P258" s="67">
        <f>+N258+M258</f>
        <v>1000</v>
      </c>
      <c r="Q258" s="87">
        <f t="shared" si="109"/>
        <v>0</v>
      </c>
      <c r="R258" s="88" t="s">
        <v>1226</v>
      </c>
    </row>
    <row r="259" spans="1:18" ht="14.1" customHeight="1" x14ac:dyDescent="0.2">
      <c r="A259" s="89"/>
      <c r="B259" s="90">
        <v>5532</v>
      </c>
      <c r="C259" s="72" t="s">
        <v>1141</v>
      </c>
      <c r="D259" s="102"/>
      <c r="E259" s="71"/>
      <c r="F259" s="74"/>
      <c r="G259" s="74"/>
      <c r="H259" s="74"/>
      <c r="I259" s="71"/>
      <c r="J259" s="73"/>
      <c r="K259" s="74"/>
      <c r="L259" s="74"/>
      <c r="M259" s="74"/>
      <c r="N259" s="74"/>
      <c r="O259" s="74">
        <v>286</v>
      </c>
      <c r="P259" s="67">
        <v>1000</v>
      </c>
      <c r="Q259" s="87"/>
      <c r="R259" s="88" t="s">
        <v>1227</v>
      </c>
    </row>
    <row r="260" spans="1:18" ht="14.1" customHeight="1" x14ac:dyDescent="0.2">
      <c r="A260" s="89"/>
      <c r="B260" s="90">
        <v>5525</v>
      </c>
      <c r="C260" s="72" t="s">
        <v>139</v>
      </c>
      <c r="D260" s="102"/>
      <c r="E260" s="71"/>
      <c r="F260" s="74"/>
      <c r="G260" s="74"/>
      <c r="H260" s="74"/>
      <c r="I260" s="71">
        <v>1049</v>
      </c>
      <c r="J260" s="73"/>
      <c r="K260" s="74"/>
      <c r="L260" s="74">
        <f t="shared" si="113"/>
        <v>0</v>
      </c>
      <c r="M260" s="74"/>
      <c r="N260" s="74">
        <f t="shared" ref="N260:N261" si="115">+M260+L260</f>
        <v>0</v>
      </c>
      <c r="O260" s="74">
        <v>867</v>
      </c>
      <c r="P260" s="67">
        <f>+N260+M260</f>
        <v>0</v>
      </c>
      <c r="Q260" s="87" t="e">
        <f t="shared" si="109"/>
        <v>#DIV/0!</v>
      </c>
      <c r="R260" s="88"/>
    </row>
    <row r="261" spans="1:18" ht="14.1" customHeight="1" x14ac:dyDescent="0.2">
      <c r="A261" s="89"/>
      <c r="B261" s="90">
        <v>5540</v>
      </c>
      <c r="C261" s="72" t="s">
        <v>618</v>
      </c>
      <c r="D261" s="43">
        <v>5500</v>
      </c>
      <c r="E261" s="71"/>
      <c r="F261" s="74">
        <f>+E261+D261</f>
        <v>5500</v>
      </c>
      <c r="G261" s="74"/>
      <c r="H261" s="74">
        <f>+G261+F261</f>
        <v>5500</v>
      </c>
      <c r="I261" s="71">
        <v>8141</v>
      </c>
      <c r="J261" s="73">
        <v>5500</v>
      </c>
      <c r="K261" s="74"/>
      <c r="L261" s="74">
        <f t="shared" si="113"/>
        <v>5500</v>
      </c>
      <c r="M261" s="74"/>
      <c r="N261" s="74">
        <f t="shared" si="115"/>
        <v>5500</v>
      </c>
      <c r="O261" s="74">
        <v>580</v>
      </c>
      <c r="P261" s="67">
        <v>3000</v>
      </c>
      <c r="Q261" s="87">
        <f t="shared" si="109"/>
        <v>-0.45454545454545453</v>
      </c>
      <c r="R261" s="88"/>
    </row>
    <row r="262" spans="1:18" ht="14.1" customHeight="1" x14ac:dyDescent="0.2">
      <c r="A262" s="79" t="s">
        <v>184</v>
      </c>
      <c r="B262" s="80"/>
      <c r="C262" s="81" t="s">
        <v>185</v>
      </c>
      <c r="D262" s="82">
        <v>952500</v>
      </c>
      <c r="E262" s="83">
        <f>+E268+E278</f>
        <v>0</v>
      </c>
      <c r="F262" s="86">
        <f t="shared" ref="F262:F295" si="116">+E262+D262</f>
        <v>952500</v>
      </c>
      <c r="G262" s="86">
        <f>+G268+G278</f>
        <v>320200</v>
      </c>
      <c r="H262" s="86">
        <f>+H268+H278</f>
        <v>1272700</v>
      </c>
      <c r="I262" s="83">
        <f t="shared" ref="I262:K262" si="117">+I268+I278</f>
        <v>1013269</v>
      </c>
      <c r="J262" s="82">
        <f t="shared" si="117"/>
        <v>1053500</v>
      </c>
      <c r="K262" s="82">
        <f t="shared" si="117"/>
        <v>0</v>
      </c>
      <c r="L262" s="82">
        <f>+L268+L278</f>
        <v>1053500</v>
      </c>
      <c r="M262" s="82">
        <f t="shared" ref="M262:N262" si="118">+M268+M278</f>
        <v>32000</v>
      </c>
      <c r="N262" s="82">
        <f t="shared" si="118"/>
        <v>1085500</v>
      </c>
      <c r="O262" s="82">
        <f t="shared" ref="O262" si="119">+O268+O278</f>
        <v>1225471</v>
      </c>
      <c r="P262" s="82">
        <f t="shared" ref="P262" si="120">+P268+P278</f>
        <v>1396225</v>
      </c>
      <c r="Q262" s="87">
        <f t="shared" si="109"/>
        <v>0.28625057577153384</v>
      </c>
      <c r="R262" s="88"/>
    </row>
    <row r="263" spans="1:18" ht="14.1" customHeight="1" x14ac:dyDescent="0.2">
      <c r="A263" s="137"/>
      <c r="B263" s="137"/>
      <c r="C263" s="137" t="s">
        <v>1057</v>
      </c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>
        <f>N265+N266+N264+N267</f>
        <v>1085500</v>
      </c>
      <c r="O263" s="137">
        <f>O265+O266+O264+O267</f>
        <v>1225471</v>
      </c>
      <c r="P263" s="137">
        <f>P265+P266+P264+P267</f>
        <v>1396225</v>
      </c>
      <c r="Q263" s="87"/>
      <c r="R263" s="88"/>
    </row>
    <row r="264" spans="1:18" ht="14.1" customHeight="1" x14ac:dyDescent="0.2">
      <c r="A264" s="139"/>
      <c r="B264" s="139">
        <v>45</v>
      </c>
      <c r="C264" s="139" t="s">
        <v>1058</v>
      </c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>
        <f>N269</f>
        <v>0</v>
      </c>
      <c r="O264" s="139">
        <f>O269</f>
        <v>0</v>
      </c>
      <c r="P264" s="139">
        <f>P269</f>
        <v>14000</v>
      </c>
      <c r="Q264" s="87"/>
      <c r="R264" s="88"/>
    </row>
    <row r="265" spans="1:18" ht="14.1" customHeight="1" x14ac:dyDescent="0.2">
      <c r="A265" s="140"/>
      <c r="B265" s="140">
        <v>50</v>
      </c>
      <c r="C265" s="140" t="s">
        <v>1059</v>
      </c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>
        <f>N279</f>
        <v>2500</v>
      </c>
      <c r="O265" s="140">
        <f>O279</f>
        <v>2705</v>
      </c>
      <c r="P265" s="140">
        <f>P279</f>
        <v>2800</v>
      </c>
      <c r="Q265" s="87"/>
      <c r="R265" s="88"/>
    </row>
    <row r="266" spans="1:18" ht="14.1" customHeight="1" x14ac:dyDescent="0.2">
      <c r="A266" s="141"/>
      <c r="B266" s="141">
        <v>55</v>
      </c>
      <c r="C266" s="141" t="s">
        <v>1060</v>
      </c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>
        <f>N270+N280</f>
        <v>1083000</v>
      </c>
      <c r="O266" s="141">
        <f>O270+O280</f>
        <v>1222766</v>
      </c>
      <c r="P266" s="67">
        <f>P270+P280</f>
        <v>1379425</v>
      </c>
      <c r="Q266" s="87"/>
      <c r="R266" s="88"/>
    </row>
    <row r="267" spans="1:18" ht="14.1" customHeight="1" x14ac:dyDescent="0.2">
      <c r="A267" s="142"/>
      <c r="B267" s="142">
        <v>60</v>
      </c>
      <c r="C267" s="142" t="s">
        <v>1061</v>
      </c>
      <c r="D267" s="145"/>
      <c r="E267" s="142"/>
      <c r="F267" s="142"/>
      <c r="G267" s="142"/>
      <c r="H267" s="142"/>
      <c r="I267" s="142"/>
      <c r="J267" s="145"/>
      <c r="K267" s="142"/>
      <c r="L267" s="142"/>
      <c r="M267" s="142"/>
      <c r="N267" s="142">
        <f>N298</f>
        <v>0</v>
      </c>
      <c r="O267" s="142">
        <f>O298</f>
        <v>0</v>
      </c>
      <c r="P267" s="142">
        <f>P298</f>
        <v>0</v>
      </c>
      <c r="Q267" s="87"/>
      <c r="R267" s="88"/>
    </row>
    <row r="268" spans="1:18" ht="14.1" customHeight="1" x14ac:dyDescent="0.2">
      <c r="A268" s="146" t="s">
        <v>186</v>
      </c>
      <c r="B268" s="147">
        <v>5100</v>
      </c>
      <c r="C268" s="148" t="s">
        <v>187</v>
      </c>
      <c r="D268" s="149">
        <v>43000</v>
      </c>
      <c r="E268" s="150"/>
      <c r="F268" s="137">
        <f t="shared" si="116"/>
        <v>43000</v>
      </c>
      <c r="G268" s="137">
        <f>+G269+G270</f>
        <v>-10000</v>
      </c>
      <c r="H268" s="137">
        <f>+H269+H270</f>
        <v>33000</v>
      </c>
      <c r="I268" s="151">
        <f>+I269+I270</f>
        <v>25523</v>
      </c>
      <c r="J268" s="152">
        <f>+J269+J270</f>
        <v>42000</v>
      </c>
      <c r="K268" s="152">
        <f t="shared" ref="K268" si="121">+K269+K270</f>
        <v>0</v>
      </c>
      <c r="L268" s="152">
        <f>+L269+L270</f>
        <v>42000</v>
      </c>
      <c r="M268" s="152">
        <f t="shared" ref="M268:N268" si="122">+M269+M270</f>
        <v>0</v>
      </c>
      <c r="N268" s="152">
        <f t="shared" si="122"/>
        <v>42000</v>
      </c>
      <c r="O268" s="152">
        <f t="shared" ref="O268:P268" si="123">+O269+O270</f>
        <v>34655</v>
      </c>
      <c r="P268" s="152">
        <f t="shared" si="123"/>
        <v>53400</v>
      </c>
      <c r="Q268" s="87">
        <f t="shared" si="109"/>
        <v>0.27142857142857141</v>
      </c>
      <c r="R268" s="88"/>
    </row>
    <row r="269" spans="1:18" ht="14.1" customHeight="1" x14ac:dyDescent="0.2">
      <c r="A269" s="94"/>
      <c r="B269" s="95">
        <v>45</v>
      </c>
      <c r="C269" s="96" t="s">
        <v>188</v>
      </c>
      <c r="D269" s="43">
        <v>0</v>
      </c>
      <c r="E269" s="71"/>
      <c r="F269" s="74">
        <f t="shared" si="116"/>
        <v>0</v>
      </c>
      <c r="G269" s="74"/>
      <c r="H269" s="74">
        <f>+G269+F269</f>
        <v>0</v>
      </c>
      <c r="I269" s="97"/>
      <c r="J269" s="73">
        <v>0</v>
      </c>
      <c r="K269" s="74"/>
      <c r="L269" s="142">
        <v>0</v>
      </c>
      <c r="M269" s="142">
        <v>0</v>
      </c>
      <c r="N269" s="142">
        <f>+L269+M269</f>
        <v>0</v>
      </c>
      <c r="O269" s="142">
        <f>+M269+N269</f>
        <v>0</v>
      </c>
      <c r="P269" s="142">
        <v>14000</v>
      </c>
      <c r="Q269" s="87">
        <v>0</v>
      </c>
      <c r="R269" s="111" t="s">
        <v>1142</v>
      </c>
    </row>
    <row r="270" spans="1:18" ht="14.1" customHeight="1" x14ac:dyDescent="0.2">
      <c r="A270" s="180"/>
      <c r="B270" s="177">
        <v>55</v>
      </c>
      <c r="C270" s="178" t="s">
        <v>104</v>
      </c>
      <c r="D270" s="43">
        <v>43000</v>
      </c>
      <c r="E270" s="71"/>
      <c r="F270" s="74">
        <f t="shared" si="116"/>
        <v>43000</v>
      </c>
      <c r="G270" s="74">
        <f>SUM(G271:G277)</f>
        <v>-10000</v>
      </c>
      <c r="H270" s="74">
        <f t="shared" ref="H270:H277" si="124">+G270+F270</f>
        <v>33000</v>
      </c>
      <c r="I270" s="71">
        <f>SUM(I271:I277)</f>
        <v>25523</v>
      </c>
      <c r="J270" s="73">
        <f>SUM(J271:J277)</f>
        <v>42000</v>
      </c>
      <c r="K270" s="74"/>
      <c r="L270" s="141">
        <f>SUM(L271:L277)</f>
        <v>42000</v>
      </c>
      <c r="M270" s="141">
        <f t="shared" ref="M270" si="125">SUM(M271:M277)</f>
        <v>0</v>
      </c>
      <c r="N270" s="141">
        <f>SUM(N271:N277)</f>
        <v>42000</v>
      </c>
      <c r="O270" s="141">
        <f>SUM(O271:O277)</f>
        <v>34655</v>
      </c>
      <c r="P270" s="67">
        <f>SUM(P271:P277)</f>
        <v>39400</v>
      </c>
      <c r="Q270" s="87">
        <f t="shared" si="109"/>
        <v>-6.1904761904761907E-2</v>
      </c>
      <c r="R270" s="88"/>
    </row>
    <row r="271" spans="1:18" ht="14.1" hidden="1" customHeight="1" x14ac:dyDescent="0.2">
      <c r="A271" s="180"/>
      <c r="B271" s="90">
        <v>5500</v>
      </c>
      <c r="C271" s="72" t="s">
        <v>180</v>
      </c>
      <c r="D271" s="102">
        <v>0</v>
      </c>
      <c r="E271" s="71"/>
      <c r="F271" s="74">
        <f t="shared" si="116"/>
        <v>0</v>
      </c>
      <c r="G271" s="74"/>
      <c r="H271" s="74">
        <f t="shared" si="124"/>
        <v>0</v>
      </c>
      <c r="I271" s="71"/>
      <c r="J271" s="73"/>
      <c r="K271" s="74"/>
      <c r="L271" s="74"/>
      <c r="M271" s="74"/>
      <c r="N271" s="74">
        <f t="shared" ref="N271:N277" si="126">+M271+L271</f>
        <v>0</v>
      </c>
      <c r="O271" s="74"/>
      <c r="P271" s="67">
        <f>+N271+M271</f>
        <v>0</v>
      </c>
      <c r="Q271" s="87">
        <v>0</v>
      </c>
      <c r="R271" s="88"/>
    </row>
    <row r="272" spans="1:18" ht="14.1" hidden="1" customHeight="1" x14ac:dyDescent="0.2">
      <c r="A272" s="180"/>
      <c r="B272" s="90">
        <v>5504</v>
      </c>
      <c r="C272" s="72" t="s">
        <v>118</v>
      </c>
      <c r="D272" s="102">
        <v>0</v>
      </c>
      <c r="E272" s="71"/>
      <c r="F272" s="74">
        <f t="shared" si="116"/>
        <v>0</v>
      </c>
      <c r="G272" s="74"/>
      <c r="H272" s="74">
        <f t="shared" si="124"/>
        <v>0</v>
      </c>
      <c r="I272" s="71"/>
      <c r="J272" s="73"/>
      <c r="K272" s="74"/>
      <c r="L272" s="74"/>
      <c r="M272" s="74"/>
      <c r="N272" s="74">
        <f t="shared" si="126"/>
        <v>0</v>
      </c>
      <c r="O272" s="74"/>
      <c r="P272" s="67">
        <f>+N272+M272</f>
        <v>0</v>
      </c>
      <c r="Q272" s="87">
        <v>0</v>
      </c>
      <c r="R272" s="88"/>
    </row>
    <row r="273" spans="1:21" ht="14.1" customHeight="1" x14ac:dyDescent="0.2">
      <c r="A273" s="180"/>
      <c r="B273" s="174">
        <v>5511</v>
      </c>
      <c r="C273" s="103" t="s">
        <v>110</v>
      </c>
      <c r="D273" s="102">
        <v>0</v>
      </c>
      <c r="E273" s="71"/>
      <c r="F273" s="74">
        <f t="shared" si="116"/>
        <v>0</v>
      </c>
      <c r="G273" s="74"/>
      <c r="H273" s="74">
        <f t="shared" si="124"/>
        <v>0</v>
      </c>
      <c r="I273" s="71">
        <v>1236</v>
      </c>
      <c r="J273" s="73"/>
      <c r="K273" s="74"/>
      <c r="L273" s="74"/>
      <c r="M273" s="74"/>
      <c r="N273" s="74">
        <f t="shared" si="126"/>
        <v>0</v>
      </c>
      <c r="O273" s="74">
        <v>1491</v>
      </c>
      <c r="P273" s="67">
        <f>+N273+M273</f>
        <v>0</v>
      </c>
      <c r="Q273" s="87">
        <v>0</v>
      </c>
      <c r="R273" s="107"/>
    </row>
    <row r="274" spans="1:21" ht="13.5" customHeight="1" x14ac:dyDescent="0.2">
      <c r="A274" s="180"/>
      <c r="B274" s="174">
        <v>5512</v>
      </c>
      <c r="C274" s="103" t="s">
        <v>189</v>
      </c>
      <c r="D274" s="102">
        <v>42000</v>
      </c>
      <c r="E274" s="71"/>
      <c r="F274" s="74">
        <f t="shared" si="116"/>
        <v>42000</v>
      </c>
      <c r="G274" s="74">
        <v>-10000</v>
      </c>
      <c r="H274" s="74">
        <f t="shared" si="124"/>
        <v>32000</v>
      </c>
      <c r="I274" s="71">
        <v>23943</v>
      </c>
      <c r="J274" s="73">
        <v>42000</v>
      </c>
      <c r="K274" s="74"/>
      <c r="L274" s="74">
        <v>42000</v>
      </c>
      <c r="M274" s="74"/>
      <c r="N274" s="74">
        <f t="shared" si="126"/>
        <v>42000</v>
      </c>
      <c r="O274" s="74">
        <v>32628</v>
      </c>
      <c r="P274" s="67">
        <v>39400</v>
      </c>
      <c r="Q274" s="87">
        <f t="shared" si="109"/>
        <v>-6.1904761904761907E-2</v>
      </c>
      <c r="R274" s="56" t="s">
        <v>1238</v>
      </c>
    </row>
    <row r="275" spans="1:21" ht="14.1" hidden="1" customHeight="1" x14ac:dyDescent="0.2">
      <c r="A275" s="180"/>
      <c r="B275" s="174">
        <v>5513</v>
      </c>
      <c r="C275" s="103" t="s">
        <v>130</v>
      </c>
      <c r="D275" s="102">
        <v>1000</v>
      </c>
      <c r="E275" s="71"/>
      <c r="F275" s="74">
        <f t="shared" si="116"/>
        <v>1000</v>
      </c>
      <c r="G275" s="74"/>
      <c r="H275" s="74">
        <f t="shared" si="124"/>
        <v>1000</v>
      </c>
      <c r="I275" s="71">
        <v>0</v>
      </c>
      <c r="J275" s="73"/>
      <c r="K275" s="74"/>
      <c r="L275" s="74"/>
      <c r="M275" s="74"/>
      <c r="N275" s="74">
        <f t="shared" si="126"/>
        <v>0</v>
      </c>
      <c r="O275" s="74"/>
      <c r="P275" s="67">
        <f>+N275+M275</f>
        <v>0</v>
      </c>
      <c r="Q275" s="87">
        <v>0</v>
      </c>
      <c r="R275" s="107"/>
    </row>
    <row r="276" spans="1:21" ht="14.1" customHeight="1" x14ac:dyDescent="0.2">
      <c r="A276" s="180"/>
      <c r="B276" s="174">
        <v>5514</v>
      </c>
      <c r="C276" s="103" t="s">
        <v>112</v>
      </c>
      <c r="D276" s="102">
        <v>0</v>
      </c>
      <c r="E276" s="71"/>
      <c r="F276" s="74">
        <f t="shared" si="116"/>
        <v>0</v>
      </c>
      <c r="G276" s="74"/>
      <c r="H276" s="74">
        <f t="shared" si="124"/>
        <v>0</v>
      </c>
      <c r="I276" s="71">
        <v>344</v>
      </c>
      <c r="J276" s="73"/>
      <c r="K276" s="74"/>
      <c r="L276" s="74"/>
      <c r="M276" s="74"/>
      <c r="N276" s="74">
        <f t="shared" si="126"/>
        <v>0</v>
      </c>
      <c r="O276" s="74">
        <v>536</v>
      </c>
      <c r="P276" s="67">
        <v>0</v>
      </c>
      <c r="Q276" s="87">
        <v>1</v>
      </c>
      <c r="R276" s="107" t="s">
        <v>1555</v>
      </c>
    </row>
    <row r="277" spans="1:21" ht="14.1" customHeight="1" x14ac:dyDescent="0.2">
      <c r="A277" s="180"/>
      <c r="B277" s="90">
        <v>5515</v>
      </c>
      <c r="C277" s="72" t="s">
        <v>133</v>
      </c>
      <c r="D277" s="102">
        <v>0</v>
      </c>
      <c r="E277" s="71"/>
      <c r="F277" s="74">
        <f t="shared" si="116"/>
        <v>0</v>
      </c>
      <c r="G277" s="74"/>
      <c r="H277" s="74">
        <f t="shared" si="124"/>
        <v>0</v>
      </c>
      <c r="I277" s="71"/>
      <c r="J277" s="73"/>
      <c r="K277" s="74"/>
      <c r="L277" s="74"/>
      <c r="M277" s="74"/>
      <c r="N277" s="74">
        <f t="shared" si="126"/>
        <v>0</v>
      </c>
      <c r="O277" s="74"/>
      <c r="P277" s="67">
        <f>+N277+M277</f>
        <v>0</v>
      </c>
      <c r="Q277" s="87">
        <v>0</v>
      </c>
      <c r="R277" s="88"/>
    </row>
    <row r="278" spans="1:21" ht="14.1" customHeight="1" x14ac:dyDescent="0.2">
      <c r="A278" s="164" t="s">
        <v>190</v>
      </c>
      <c r="B278" s="147">
        <v>5101</v>
      </c>
      <c r="C278" s="148" t="s">
        <v>191</v>
      </c>
      <c r="D278" s="149">
        <v>909500</v>
      </c>
      <c r="E278" s="151">
        <f>+E279+E280</f>
        <v>0</v>
      </c>
      <c r="F278" s="137">
        <f t="shared" si="116"/>
        <v>909500</v>
      </c>
      <c r="G278" s="137">
        <f t="shared" ref="G278:L278" si="127">+G279+G280</f>
        <v>330200</v>
      </c>
      <c r="H278" s="137">
        <f t="shared" si="127"/>
        <v>1239700</v>
      </c>
      <c r="I278" s="151">
        <f t="shared" si="127"/>
        <v>987746</v>
      </c>
      <c r="J278" s="152">
        <f t="shared" si="127"/>
        <v>1011500</v>
      </c>
      <c r="K278" s="152">
        <f t="shared" si="127"/>
        <v>0</v>
      </c>
      <c r="L278" s="152">
        <f t="shared" si="127"/>
        <v>1011500</v>
      </c>
      <c r="M278" s="152">
        <f t="shared" ref="M278:N278" si="128">+M279+M280</f>
        <v>32000</v>
      </c>
      <c r="N278" s="152">
        <f t="shared" si="128"/>
        <v>1043500</v>
      </c>
      <c r="O278" s="152">
        <f t="shared" ref="O278:P278" si="129">+O279+O280</f>
        <v>1190816</v>
      </c>
      <c r="P278" s="152">
        <f t="shared" si="129"/>
        <v>1342825</v>
      </c>
      <c r="Q278" s="87">
        <f t="shared" si="109"/>
        <v>0.28684714901772879</v>
      </c>
      <c r="R278" s="88"/>
    </row>
    <row r="279" spans="1:21" ht="14.1" customHeight="1" x14ac:dyDescent="0.2">
      <c r="A279" s="181"/>
      <c r="B279" s="177">
        <v>50</v>
      </c>
      <c r="C279" s="178" t="s">
        <v>146</v>
      </c>
      <c r="D279" s="43">
        <v>2500</v>
      </c>
      <c r="E279" s="71"/>
      <c r="F279" s="74">
        <f t="shared" si="116"/>
        <v>2500</v>
      </c>
      <c r="G279" s="74">
        <v>0</v>
      </c>
      <c r="H279" s="74">
        <f>+G279+F279</f>
        <v>2500</v>
      </c>
      <c r="I279" s="71">
        <v>3024</v>
      </c>
      <c r="J279" s="73">
        <v>2500</v>
      </c>
      <c r="K279" s="74"/>
      <c r="L279" s="140">
        <v>2500</v>
      </c>
      <c r="M279" s="140"/>
      <c r="N279" s="140">
        <f t="shared" ref="N279" si="130">+M279+L279</f>
        <v>2500</v>
      </c>
      <c r="O279" s="140">
        <v>2705</v>
      </c>
      <c r="P279" s="140">
        <v>2800</v>
      </c>
      <c r="Q279" s="87">
        <f t="shared" si="109"/>
        <v>0.12</v>
      </c>
      <c r="R279" s="107" t="s">
        <v>1240</v>
      </c>
    </row>
    <row r="280" spans="1:21" ht="14.1" customHeight="1" x14ac:dyDescent="0.2">
      <c r="A280" s="94"/>
      <c r="B280" s="95" t="s">
        <v>103</v>
      </c>
      <c r="C280" s="96" t="s">
        <v>192</v>
      </c>
      <c r="D280" s="43">
        <v>907000</v>
      </c>
      <c r="E280" s="71">
        <v>0</v>
      </c>
      <c r="F280" s="74">
        <f t="shared" si="116"/>
        <v>907000</v>
      </c>
      <c r="G280" s="74">
        <f>SUM(G281:G287)</f>
        <v>330200</v>
      </c>
      <c r="H280" s="74">
        <f>+G280+F280</f>
        <v>1237200</v>
      </c>
      <c r="I280" s="71">
        <f>SUM(I281:I287)</f>
        <v>984722</v>
      </c>
      <c r="J280" s="73">
        <f>SUM(J281:J287)</f>
        <v>1009000</v>
      </c>
      <c r="K280" s="74"/>
      <c r="L280" s="141">
        <f>SUM(L281:L287)</f>
        <v>1009000</v>
      </c>
      <c r="M280" s="141">
        <f t="shared" ref="M280:N280" si="131">SUM(M281:M287)</f>
        <v>32000</v>
      </c>
      <c r="N280" s="141">
        <f t="shared" si="131"/>
        <v>1041000</v>
      </c>
      <c r="O280" s="141">
        <f t="shared" ref="O280:P280" si="132">SUM(O281:O287)</f>
        <v>1188111</v>
      </c>
      <c r="P280" s="141">
        <f t="shared" si="132"/>
        <v>1340025</v>
      </c>
      <c r="Q280" s="87">
        <f t="shared" si="109"/>
        <v>0.28724783861671471</v>
      </c>
      <c r="R280" s="88"/>
    </row>
    <row r="281" spans="1:21" ht="14.1" customHeight="1" x14ac:dyDescent="0.2">
      <c r="A281" s="94"/>
      <c r="B281" s="90">
        <v>5500</v>
      </c>
      <c r="C281" s="72" t="s">
        <v>180</v>
      </c>
      <c r="D281" s="43"/>
      <c r="E281" s="71"/>
      <c r="F281" s="74">
        <f t="shared" si="116"/>
        <v>0</v>
      </c>
      <c r="G281" s="74"/>
      <c r="H281" s="74">
        <f t="shared" ref="H281:H287" si="133">+G281+F281</f>
        <v>0</v>
      </c>
      <c r="I281" s="71">
        <v>660</v>
      </c>
      <c r="J281" s="73"/>
      <c r="K281" s="74"/>
      <c r="L281" s="74"/>
      <c r="M281" s="74"/>
      <c r="N281" s="74">
        <f t="shared" ref="N281:N287" si="134">+M281+L281</f>
        <v>0</v>
      </c>
      <c r="O281" s="74"/>
      <c r="P281" s="67">
        <v>25</v>
      </c>
      <c r="Q281" s="87">
        <v>1</v>
      </c>
      <c r="R281" s="88"/>
    </row>
    <row r="282" spans="1:21" ht="13.5" customHeight="1" x14ac:dyDescent="0.2">
      <c r="A282" s="94"/>
      <c r="B282" s="90">
        <v>5511</v>
      </c>
      <c r="C282" s="72" t="s">
        <v>110</v>
      </c>
      <c r="D282" s="102">
        <v>3000</v>
      </c>
      <c r="E282" s="71"/>
      <c r="F282" s="74">
        <f t="shared" si="116"/>
        <v>3000</v>
      </c>
      <c r="G282" s="74"/>
      <c r="H282" s="74">
        <f t="shared" si="133"/>
        <v>3000</v>
      </c>
      <c r="I282" s="71">
        <v>837</v>
      </c>
      <c r="J282" s="73"/>
      <c r="K282" s="74"/>
      <c r="L282" s="74"/>
      <c r="M282" s="74"/>
      <c r="N282" s="74">
        <f t="shared" si="134"/>
        <v>0</v>
      </c>
      <c r="O282" s="74">
        <v>8</v>
      </c>
      <c r="P282" s="67">
        <f>+N282+M282</f>
        <v>0</v>
      </c>
      <c r="Q282" s="87"/>
      <c r="R282" s="88"/>
    </row>
    <row r="283" spans="1:21" ht="14.1" customHeight="1" x14ac:dyDescent="0.2">
      <c r="A283" s="94"/>
      <c r="B283" s="90">
        <v>5512</v>
      </c>
      <c r="C283" s="72" t="s">
        <v>189</v>
      </c>
      <c r="D283" s="102">
        <v>900000</v>
      </c>
      <c r="E283" s="71"/>
      <c r="F283" s="74">
        <f t="shared" si="116"/>
        <v>900000</v>
      </c>
      <c r="G283" s="74">
        <v>330200</v>
      </c>
      <c r="H283" s="74">
        <f t="shared" si="133"/>
        <v>1230200</v>
      </c>
      <c r="I283" s="71">
        <v>967694</v>
      </c>
      <c r="J283" s="73">
        <v>1000000</v>
      </c>
      <c r="K283" s="74"/>
      <c r="L283" s="74">
        <v>1000000</v>
      </c>
      <c r="M283" s="74"/>
      <c r="N283" s="74">
        <f t="shared" si="134"/>
        <v>1000000</v>
      </c>
      <c r="O283" s="74">
        <v>1146357</v>
      </c>
      <c r="P283" s="67">
        <v>1300000</v>
      </c>
      <c r="Q283" s="87">
        <f t="shared" si="109"/>
        <v>0.3</v>
      </c>
      <c r="R283" s="88" t="s">
        <v>1425</v>
      </c>
    </row>
    <row r="284" spans="1:21" ht="14.1" customHeight="1" x14ac:dyDescent="0.2">
      <c r="A284" s="94"/>
      <c r="B284" s="90">
        <v>5513</v>
      </c>
      <c r="C284" s="72" t="s">
        <v>130</v>
      </c>
      <c r="D284" s="102">
        <v>4000</v>
      </c>
      <c r="E284" s="71"/>
      <c r="F284" s="74">
        <f t="shared" si="116"/>
        <v>4000</v>
      </c>
      <c r="G284" s="74"/>
      <c r="H284" s="74">
        <f t="shared" si="133"/>
        <v>4000</v>
      </c>
      <c r="I284" s="71">
        <v>2255</v>
      </c>
      <c r="J284" s="73">
        <v>4000</v>
      </c>
      <c r="K284" s="74"/>
      <c r="L284" s="74">
        <v>4000</v>
      </c>
      <c r="M284" s="74"/>
      <c r="N284" s="74">
        <f t="shared" si="134"/>
        <v>4000</v>
      </c>
      <c r="O284" s="74"/>
      <c r="P284" s="67">
        <v>0</v>
      </c>
      <c r="Q284" s="87">
        <f t="shared" si="109"/>
        <v>-1</v>
      </c>
      <c r="R284" s="88" t="s">
        <v>811</v>
      </c>
    </row>
    <row r="285" spans="1:21" ht="14.1" customHeight="1" x14ac:dyDescent="0.2">
      <c r="A285" s="94"/>
      <c r="B285" s="90">
        <v>5515</v>
      </c>
      <c r="C285" s="72" t="s">
        <v>133</v>
      </c>
      <c r="D285" s="102">
        <v>0</v>
      </c>
      <c r="E285" s="71"/>
      <c r="F285" s="74">
        <f t="shared" si="116"/>
        <v>0</v>
      </c>
      <c r="G285" s="74"/>
      <c r="H285" s="74">
        <f t="shared" si="133"/>
        <v>0</v>
      </c>
      <c r="I285" s="71">
        <v>12861</v>
      </c>
      <c r="J285" s="73">
        <v>5000</v>
      </c>
      <c r="K285" s="74"/>
      <c r="L285" s="74">
        <v>5000</v>
      </c>
      <c r="M285" s="92">
        <v>32000</v>
      </c>
      <c r="N285" s="74">
        <f t="shared" si="134"/>
        <v>37000</v>
      </c>
      <c r="O285" s="74">
        <v>41435</v>
      </c>
      <c r="P285" s="67">
        <v>40000</v>
      </c>
      <c r="Q285" s="87">
        <f t="shared" si="109"/>
        <v>8.1081081081081086E-2</v>
      </c>
      <c r="R285" s="56" t="s">
        <v>1239</v>
      </c>
      <c r="U285" s="56" t="s">
        <v>812</v>
      </c>
    </row>
    <row r="286" spans="1:21" ht="14.1" customHeight="1" x14ac:dyDescent="0.2">
      <c r="A286" s="94"/>
      <c r="B286" s="90">
        <v>5521</v>
      </c>
      <c r="C286" s="72" t="s">
        <v>261</v>
      </c>
      <c r="D286" s="102"/>
      <c r="E286" s="71"/>
      <c r="F286" s="74"/>
      <c r="G286" s="74"/>
      <c r="H286" s="74"/>
      <c r="I286" s="71"/>
      <c r="J286" s="73"/>
      <c r="K286" s="74"/>
      <c r="L286" s="74"/>
      <c r="M286" s="92"/>
      <c r="N286" s="74"/>
      <c r="O286" s="74">
        <v>311</v>
      </c>
      <c r="P286" s="67"/>
      <c r="Q286" s="87"/>
      <c r="R286" s="56" t="s">
        <v>1556</v>
      </c>
    </row>
    <row r="287" spans="1:21" ht="14.1" customHeight="1" x14ac:dyDescent="0.2">
      <c r="A287" s="94"/>
      <c r="B287" s="90">
        <v>5540</v>
      </c>
      <c r="C287" s="72" t="s">
        <v>193</v>
      </c>
      <c r="D287" s="102">
        <v>0</v>
      </c>
      <c r="E287" s="71"/>
      <c r="F287" s="74">
        <f t="shared" si="116"/>
        <v>0</v>
      </c>
      <c r="G287" s="74"/>
      <c r="H287" s="74">
        <f t="shared" si="133"/>
        <v>0</v>
      </c>
      <c r="I287" s="71">
        <v>415</v>
      </c>
      <c r="J287" s="73"/>
      <c r="K287" s="74"/>
      <c r="L287" s="74"/>
      <c r="M287" s="74"/>
      <c r="N287" s="74">
        <f t="shared" si="134"/>
        <v>0</v>
      </c>
      <c r="O287" s="74">
        <v>0</v>
      </c>
      <c r="P287" s="67">
        <f>+N287+M287</f>
        <v>0</v>
      </c>
      <c r="Q287" s="87"/>
      <c r="R287" s="88"/>
    </row>
    <row r="288" spans="1:21" ht="14.1" customHeight="1" x14ac:dyDescent="0.2">
      <c r="A288" s="79" t="s">
        <v>194</v>
      </c>
      <c r="B288" s="80">
        <v>6</v>
      </c>
      <c r="C288" s="81" t="s">
        <v>195</v>
      </c>
      <c r="D288" s="82">
        <v>217250</v>
      </c>
      <c r="E288" s="82">
        <f t="shared" ref="E288:M288" si="135">+E294+E305+E311+E342+E330</f>
        <v>12077</v>
      </c>
      <c r="F288" s="82">
        <f t="shared" si="135"/>
        <v>229327</v>
      </c>
      <c r="G288" s="82">
        <f t="shared" si="135"/>
        <v>5332</v>
      </c>
      <c r="H288" s="82">
        <f t="shared" si="135"/>
        <v>234659</v>
      </c>
      <c r="I288" s="82">
        <f t="shared" si="135"/>
        <v>186936.58000000002</v>
      </c>
      <c r="J288" s="82">
        <f t="shared" si="135"/>
        <v>245013</v>
      </c>
      <c r="K288" s="82">
        <f t="shared" si="135"/>
        <v>28500</v>
      </c>
      <c r="L288" s="82">
        <f t="shared" si="135"/>
        <v>273513</v>
      </c>
      <c r="M288" s="82">
        <f t="shared" si="135"/>
        <v>6850</v>
      </c>
      <c r="N288" s="82">
        <f>+N294+N305+N311+N342+N330</f>
        <v>280363</v>
      </c>
      <c r="O288" s="82">
        <f>+O294+O305+O311+O342+O330</f>
        <v>202847</v>
      </c>
      <c r="P288" s="82">
        <f>+P294+P305+P311+P342+P330</f>
        <v>361439</v>
      </c>
      <c r="Q288" s="87">
        <f t="shared" si="109"/>
        <v>0.28918223874048998</v>
      </c>
      <c r="R288" s="88"/>
    </row>
    <row r="289" spans="1:18" ht="14.1" customHeight="1" x14ac:dyDescent="0.2">
      <c r="A289" s="137"/>
      <c r="B289" s="137"/>
      <c r="C289" s="137" t="s">
        <v>1066</v>
      </c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>
        <f>N291+N292+N290+N293</f>
        <v>280363</v>
      </c>
      <c r="O289" s="137">
        <f>O291+O292+O290+O293</f>
        <v>202847</v>
      </c>
      <c r="P289" s="137">
        <f>P291+P292+P290+P293</f>
        <v>361439</v>
      </c>
      <c r="Q289" s="87">
        <f t="shared" si="109"/>
        <v>0.28918223874048998</v>
      </c>
      <c r="R289" s="88"/>
    </row>
    <row r="290" spans="1:18" ht="14.1" customHeight="1" x14ac:dyDescent="0.2">
      <c r="A290" s="139"/>
      <c r="B290" s="139">
        <v>45</v>
      </c>
      <c r="C290" s="139" t="s">
        <v>1062</v>
      </c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>
        <f>N295+N312</f>
        <v>20000</v>
      </c>
      <c r="O290" s="139">
        <f>O295+O312</f>
        <v>3702</v>
      </c>
      <c r="P290" s="139">
        <f>P295+P312</f>
        <v>20000</v>
      </c>
      <c r="Q290" s="87">
        <f t="shared" si="109"/>
        <v>0</v>
      </c>
      <c r="R290" s="88"/>
    </row>
    <row r="291" spans="1:18" ht="14.1" customHeight="1" x14ac:dyDescent="0.2">
      <c r="A291" s="140"/>
      <c r="B291" s="140">
        <v>50</v>
      </c>
      <c r="C291" s="140" t="s">
        <v>1063</v>
      </c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>
        <f>N296+N331</f>
        <v>15663</v>
      </c>
      <c r="O291" s="140">
        <f>O296+O331</f>
        <v>13470</v>
      </c>
      <c r="P291" s="140">
        <f>P296+P331</f>
        <v>17633</v>
      </c>
      <c r="Q291" s="87">
        <f t="shared" si="109"/>
        <v>0.12577411734661303</v>
      </c>
      <c r="R291" s="88"/>
    </row>
    <row r="292" spans="1:18" ht="14.1" customHeight="1" x14ac:dyDescent="0.2">
      <c r="A292" s="141"/>
      <c r="B292" s="141">
        <v>55</v>
      </c>
      <c r="C292" s="141" t="s">
        <v>1064</v>
      </c>
      <c r="D292" s="141"/>
      <c r="E292" s="141"/>
      <c r="F292" s="141"/>
      <c r="G292" s="141"/>
      <c r="H292" s="141"/>
      <c r="I292" s="141"/>
      <c r="J292" s="141"/>
      <c r="K292" s="141"/>
      <c r="L292" s="141"/>
      <c r="M292" s="141"/>
      <c r="N292" s="141">
        <f>N297+N306+N313+N332+N343</f>
        <v>244700</v>
      </c>
      <c r="O292" s="141">
        <f>O297+O306+O313+O332+O343</f>
        <v>185675</v>
      </c>
      <c r="P292" s="67">
        <f>P297+P306+P313+P332+P343</f>
        <v>323806</v>
      </c>
      <c r="Q292" s="87">
        <f t="shared" si="109"/>
        <v>0.32327748263179401</v>
      </c>
      <c r="R292" s="88"/>
    </row>
    <row r="293" spans="1:18" ht="14.1" customHeight="1" x14ac:dyDescent="0.2">
      <c r="A293" s="142"/>
      <c r="B293" s="142">
        <v>60</v>
      </c>
      <c r="C293" s="142" t="s">
        <v>1065</v>
      </c>
      <c r="D293" s="145"/>
      <c r="E293" s="142"/>
      <c r="F293" s="142"/>
      <c r="G293" s="142"/>
      <c r="H293" s="142"/>
      <c r="I293" s="142"/>
      <c r="J293" s="145"/>
      <c r="K293" s="142"/>
      <c r="L293" s="142"/>
      <c r="M293" s="142"/>
      <c r="N293" s="142">
        <v>0</v>
      </c>
      <c r="O293" s="142">
        <v>0</v>
      </c>
      <c r="P293" s="142">
        <v>0</v>
      </c>
      <c r="Q293" s="87"/>
      <c r="R293" s="88"/>
    </row>
    <row r="294" spans="1:18" ht="14.1" customHeight="1" x14ac:dyDescent="0.2">
      <c r="A294" s="146" t="s">
        <v>196</v>
      </c>
      <c r="B294" s="147"/>
      <c r="C294" s="148" t="s">
        <v>197</v>
      </c>
      <c r="D294" s="149">
        <v>6700</v>
      </c>
      <c r="E294" s="150"/>
      <c r="F294" s="137">
        <f t="shared" si="116"/>
        <v>6700</v>
      </c>
      <c r="G294" s="137">
        <f t="shared" ref="G294:L294" si="136">+G296+G297</f>
        <v>10332</v>
      </c>
      <c r="H294" s="137">
        <f t="shared" si="136"/>
        <v>17032</v>
      </c>
      <c r="I294" s="151">
        <f t="shared" si="136"/>
        <v>10377</v>
      </c>
      <c r="J294" s="149">
        <f t="shared" si="136"/>
        <v>7000</v>
      </c>
      <c r="K294" s="149">
        <f t="shared" si="136"/>
        <v>0</v>
      </c>
      <c r="L294" s="149">
        <f t="shared" si="136"/>
        <v>7000</v>
      </c>
      <c r="M294" s="149">
        <f t="shared" ref="M294:N294" si="137">+M296+M297</f>
        <v>7050</v>
      </c>
      <c r="N294" s="149">
        <f t="shared" si="137"/>
        <v>14050</v>
      </c>
      <c r="O294" s="149">
        <f t="shared" ref="O294:P294" si="138">+O296+O297</f>
        <v>11386</v>
      </c>
      <c r="P294" s="149">
        <f t="shared" si="138"/>
        <v>20850</v>
      </c>
      <c r="Q294" s="87">
        <f t="shared" si="109"/>
        <v>0.48398576512455516</v>
      </c>
      <c r="R294" s="88"/>
    </row>
    <row r="295" spans="1:18" ht="14.1" customHeight="1" x14ac:dyDescent="0.2">
      <c r="A295" s="94"/>
      <c r="B295" s="95">
        <v>45</v>
      </c>
      <c r="C295" s="53" t="s">
        <v>1586</v>
      </c>
      <c r="D295" s="43">
        <v>20000</v>
      </c>
      <c r="E295" s="71"/>
      <c r="F295" s="98">
        <f t="shared" si="116"/>
        <v>20000</v>
      </c>
      <c r="G295" s="98">
        <v>-15000</v>
      </c>
      <c r="H295" s="98">
        <f>+G295+F295</f>
        <v>5000</v>
      </c>
      <c r="I295" s="71">
        <v>0</v>
      </c>
      <c r="J295" s="73">
        <v>20000</v>
      </c>
      <c r="K295" s="74"/>
      <c r="L295" s="142">
        <v>20000</v>
      </c>
      <c r="M295" s="142"/>
      <c r="N295" s="142"/>
      <c r="O295" s="142"/>
      <c r="P295" s="142"/>
      <c r="Q295" s="87"/>
      <c r="R295" s="88" t="s">
        <v>813</v>
      </c>
    </row>
    <row r="296" spans="1:18" ht="14.1" customHeight="1" x14ac:dyDescent="0.2">
      <c r="A296" s="94"/>
      <c r="B296" s="95">
        <v>50</v>
      </c>
      <c r="C296" s="96" t="s">
        <v>146</v>
      </c>
      <c r="D296" s="43"/>
      <c r="E296" s="71"/>
      <c r="F296" s="98"/>
      <c r="G296" s="98">
        <v>5602</v>
      </c>
      <c r="H296" s="98">
        <v>5602</v>
      </c>
      <c r="I296" s="97">
        <v>5602</v>
      </c>
      <c r="J296" s="99"/>
      <c r="K296" s="98"/>
      <c r="L296" s="182">
        <v>0</v>
      </c>
      <c r="M296" s="183">
        <v>850</v>
      </c>
      <c r="N296" s="140">
        <f t="shared" ref="N296" si="139">+M296+L296</f>
        <v>850</v>
      </c>
      <c r="O296" s="140">
        <v>850</v>
      </c>
      <c r="P296" s="140">
        <v>850</v>
      </c>
      <c r="Q296" s="87">
        <f t="shared" si="109"/>
        <v>0</v>
      </c>
      <c r="R296" s="56" t="s">
        <v>1242</v>
      </c>
    </row>
    <row r="297" spans="1:18" ht="14.1" customHeight="1" x14ac:dyDescent="0.2">
      <c r="A297" s="94"/>
      <c r="B297" s="95">
        <v>55</v>
      </c>
      <c r="C297" s="96" t="s">
        <v>192</v>
      </c>
      <c r="D297" s="43">
        <v>6700</v>
      </c>
      <c r="E297" s="71"/>
      <c r="F297" s="72">
        <v>6700</v>
      </c>
      <c r="G297" s="72">
        <f>+G298+G302+G304</f>
        <v>4730</v>
      </c>
      <c r="H297" s="72">
        <f>+G297+F297</f>
        <v>11430</v>
      </c>
      <c r="I297" s="71">
        <f>+I298+I302+I304</f>
        <v>4775</v>
      </c>
      <c r="J297" s="73">
        <f>+J298+J302</f>
        <v>7000</v>
      </c>
      <c r="K297" s="74"/>
      <c r="L297" s="141">
        <f>+L298+L302+L304</f>
        <v>7000</v>
      </c>
      <c r="M297" s="141">
        <f t="shared" ref="M297:N297" si="140">+M298+M302+M304</f>
        <v>6200</v>
      </c>
      <c r="N297" s="141">
        <f t="shared" si="140"/>
        <v>13200</v>
      </c>
      <c r="O297" s="141">
        <f>+O298+O302+O304+O303</f>
        <v>10536</v>
      </c>
      <c r="P297" s="141">
        <f>+P298+P302+P304+P303</f>
        <v>20000</v>
      </c>
      <c r="Q297" s="87">
        <f t="shared" si="109"/>
        <v>0.51515151515151514</v>
      </c>
      <c r="R297" s="88"/>
    </row>
    <row r="298" spans="1:18" ht="11.45" customHeight="1" x14ac:dyDescent="0.2">
      <c r="A298" s="94"/>
      <c r="B298" s="90">
        <v>5511</v>
      </c>
      <c r="C298" s="72" t="s">
        <v>104</v>
      </c>
      <c r="D298" s="43"/>
      <c r="E298" s="71"/>
      <c r="F298" s="72"/>
      <c r="G298" s="72"/>
      <c r="H298" s="72"/>
      <c r="I298" s="71">
        <v>28</v>
      </c>
      <c r="J298" s="73">
        <f>+J299+J300+J301</f>
        <v>0</v>
      </c>
      <c r="K298" s="74"/>
      <c r="L298" s="74">
        <f>SUM(L299:L301)</f>
        <v>0</v>
      </c>
      <c r="M298" s="74">
        <f t="shared" ref="M298:N298" si="141">SUM(M299:M301)</f>
        <v>0</v>
      </c>
      <c r="N298" s="74">
        <f t="shared" si="141"/>
        <v>0</v>
      </c>
      <c r="O298" s="74"/>
      <c r="P298" s="67">
        <f t="shared" ref="P298" si="142">SUM(P299:P301)</f>
        <v>0</v>
      </c>
      <c r="Q298" s="87"/>
      <c r="R298" s="88"/>
    </row>
    <row r="299" spans="1:18" s="49" customFormat="1" ht="14.1" hidden="1" customHeight="1" x14ac:dyDescent="0.2">
      <c r="A299" s="184"/>
      <c r="B299" s="185"/>
      <c r="C299" s="154" t="s">
        <v>121</v>
      </c>
      <c r="D299" s="157"/>
      <c r="E299" s="158"/>
      <c r="F299" s="154"/>
      <c r="G299" s="154"/>
      <c r="H299" s="154"/>
      <c r="I299" s="158">
        <v>0</v>
      </c>
      <c r="J299" s="159"/>
      <c r="K299" s="153"/>
      <c r="L299" s="153">
        <v>0</v>
      </c>
      <c r="M299" s="153"/>
      <c r="N299" s="153">
        <f>+L299+M299</f>
        <v>0</v>
      </c>
      <c r="O299" s="153"/>
      <c r="P299" s="155">
        <f>+M299+N299</f>
        <v>0</v>
      </c>
      <c r="Q299" s="87"/>
      <c r="R299" s="88"/>
    </row>
    <row r="300" spans="1:18" s="49" customFormat="1" ht="14.1" hidden="1" customHeight="1" x14ac:dyDescent="0.2">
      <c r="A300" s="184"/>
      <c r="B300" s="185"/>
      <c r="C300" s="175" t="s">
        <v>123</v>
      </c>
      <c r="D300" s="157"/>
      <c r="E300" s="158"/>
      <c r="F300" s="154"/>
      <c r="G300" s="154"/>
      <c r="H300" s="154"/>
      <c r="I300" s="158"/>
      <c r="J300" s="159"/>
      <c r="K300" s="153"/>
      <c r="L300" s="153">
        <v>0</v>
      </c>
      <c r="M300" s="153"/>
      <c r="N300" s="153">
        <f t="shared" ref="N300:N301" si="143">+L300+M300</f>
        <v>0</v>
      </c>
      <c r="O300" s="153"/>
      <c r="P300" s="155">
        <f>+M300+N300</f>
        <v>0</v>
      </c>
      <c r="Q300" s="87"/>
      <c r="R300" s="88"/>
    </row>
    <row r="301" spans="1:18" s="49" customFormat="1" ht="14.1" hidden="1" customHeight="1" x14ac:dyDescent="0.2">
      <c r="A301" s="184"/>
      <c r="B301" s="185"/>
      <c r="C301" s="154" t="s">
        <v>198</v>
      </c>
      <c r="D301" s="157"/>
      <c r="E301" s="158"/>
      <c r="F301" s="154"/>
      <c r="G301" s="154"/>
      <c r="H301" s="154"/>
      <c r="I301" s="158"/>
      <c r="J301" s="159"/>
      <c r="K301" s="153"/>
      <c r="L301" s="153">
        <v>0</v>
      </c>
      <c r="M301" s="153"/>
      <c r="N301" s="153">
        <f t="shared" si="143"/>
        <v>0</v>
      </c>
      <c r="O301" s="153"/>
      <c r="P301" s="155">
        <f>+M301+N301</f>
        <v>0</v>
      </c>
      <c r="Q301" s="87"/>
      <c r="R301" s="88"/>
    </row>
    <row r="302" spans="1:18" ht="14.1" customHeight="1" x14ac:dyDescent="0.2">
      <c r="A302" s="89"/>
      <c r="B302" s="90">
        <v>5512</v>
      </c>
      <c r="C302" s="103" t="s">
        <v>189</v>
      </c>
      <c r="D302" s="43"/>
      <c r="E302" s="71"/>
      <c r="F302" s="72"/>
      <c r="G302" s="72">
        <v>4730</v>
      </c>
      <c r="H302" s="72"/>
      <c r="I302" s="71">
        <v>4724</v>
      </c>
      <c r="J302" s="73">
        <v>7000</v>
      </c>
      <c r="K302" s="74"/>
      <c r="L302" s="74">
        <v>7000</v>
      </c>
      <c r="M302" s="92">
        <v>6200</v>
      </c>
      <c r="N302" s="74">
        <f>+L302+M302</f>
        <v>13200</v>
      </c>
      <c r="O302" s="74">
        <v>10479</v>
      </c>
      <c r="P302" s="67">
        <v>20000</v>
      </c>
      <c r="Q302" s="87">
        <f t="shared" si="109"/>
        <v>0.51515151515151514</v>
      </c>
      <c r="R302" s="56" t="s">
        <v>1243</v>
      </c>
    </row>
    <row r="303" spans="1:18" ht="14.1" customHeight="1" x14ac:dyDescent="0.2">
      <c r="A303" s="89"/>
      <c r="B303" s="90">
        <v>5513</v>
      </c>
      <c r="C303" s="103" t="s">
        <v>130</v>
      </c>
      <c r="D303" s="43"/>
      <c r="E303" s="71"/>
      <c r="F303" s="72"/>
      <c r="G303" s="72"/>
      <c r="H303" s="72"/>
      <c r="I303" s="71"/>
      <c r="J303" s="73"/>
      <c r="K303" s="74"/>
      <c r="L303" s="74"/>
      <c r="M303" s="92"/>
      <c r="N303" s="74"/>
      <c r="O303" s="74">
        <v>38</v>
      </c>
      <c r="P303" s="67"/>
      <c r="Q303" s="87"/>
      <c r="R303" s="56"/>
    </row>
    <row r="304" spans="1:18" ht="14.1" customHeight="1" x14ac:dyDescent="0.2">
      <c r="A304" s="89"/>
      <c r="B304" s="90">
        <v>5515</v>
      </c>
      <c r="C304" s="103" t="s">
        <v>133</v>
      </c>
      <c r="D304" s="43"/>
      <c r="E304" s="71"/>
      <c r="F304" s="72"/>
      <c r="G304" s="72"/>
      <c r="H304" s="72"/>
      <c r="I304" s="71">
        <v>23</v>
      </c>
      <c r="J304" s="73"/>
      <c r="K304" s="74"/>
      <c r="L304" s="74">
        <v>0</v>
      </c>
      <c r="M304" s="74"/>
      <c r="N304" s="74">
        <f>+L304+M304</f>
        <v>0</v>
      </c>
      <c r="O304" s="74">
        <v>19</v>
      </c>
      <c r="P304" s="67">
        <f>+M304+N304</f>
        <v>0</v>
      </c>
      <c r="Q304" s="87"/>
      <c r="R304" s="88"/>
    </row>
    <row r="305" spans="1:25" s="53" customFormat="1" ht="14.1" customHeight="1" x14ac:dyDescent="0.2">
      <c r="A305" s="146" t="s">
        <v>199</v>
      </c>
      <c r="B305" s="147"/>
      <c r="C305" s="148" t="s">
        <v>200</v>
      </c>
      <c r="D305" s="149">
        <v>100000</v>
      </c>
      <c r="E305" s="151"/>
      <c r="F305" s="137">
        <f>+E305+D305</f>
        <v>100000</v>
      </c>
      <c r="G305" s="137">
        <v>0</v>
      </c>
      <c r="H305" s="137">
        <f>+G305+F305</f>
        <v>100000</v>
      </c>
      <c r="I305" s="151">
        <f>+I306</f>
        <v>87075</v>
      </c>
      <c r="J305" s="152">
        <f>+J306</f>
        <v>100000</v>
      </c>
      <c r="K305" s="152">
        <f>+K306</f>
        <v>55000</v>
      </c>
      <c r="L305" s="152">
        <f>+K305+J305</f>
        <v>155000</v>
      </c>
      <c r="M305" s="152">
        <f>+M306</f>
        <v>0</v>
      </c>
      <c r="N305" s="152">
        <f>+N306</f>
        <v>155000</v>
      </c>
      <c r="O305" s="152">
        <f>+O306</f>
        <v>128969</v>
      </c>
      <c r="P305" s="152">
        <f>+P306</f>
        <v>220000</v>
      </c>
      <c r="Q305" s="87">
        <f t="shared" si="109"/>
        <v>0.41935483870967744</v>
      </c>
      <c r="R305" s="88"/>
      <c r="S305" s="56"/>
      <c r="T305" s="56"/>
      <c r="U305" s="56"/>
      <c r="V305" s="56"/>
      <c r="W305" s="56"/>
      <c r="X305" s="56"/>
      <c r="Y305" s="56"/>
    </row>
    <row r="306" spans="1:25" ht="14.1" customHeight="1" x14ac:dyDescent="0.2">
      <c r="A306" s="89"/>
      <c r="B306" s="90" t="s">
        <v>103</v>
      </c>
      <c r="C306" s="72" t="s">
        <v>201</v>
      </c>
      <c r="D306" s="43">
        <v>100000</v>
      </c>
      <c r="E306" s="71"/>
      <c r="F306" s="72"/>
      <c r="G306" s="72"/>
      <c r="H306" s="72"/>
      <c r="I306" s="71">
        <f>+I307+I310</f>
        <v>87075</v>
      </c>
      <c r="J306" s="73">
        <f>+J307+J310</f>
        <v>100000</v>
      </c>
      <c r="K306" s="74">
        <v>55000</v>
      </c>
      <c r="L306" s="141">
        <f>+K306+J306</f>
        <v>155000</v>
      </c>
      <c r="M306" s="141">
        <f>+M307+M310</f>
        <v>0</v>
      </c>
      <c r="N306" s="141">
        <f>N307+N310</f>
        <v>155000</v>
      </c>
      <c r="O306" s="141">
        <f>O307+O310</f>
        <v>128969</v>
      </c>
      <c r="P306" s="141">
        <f>P307+P310</f>
        <v>220000</v>
      </c>
      <c r="Q306" s="87">
        <f t="shared" si="109"/>
        <v>0.41935483870967744</v>
      </c>
      <c r="R306" s="88"/>
    </row>
    <row r="307" spans="1:25" ht="14.1" customHeight="1" x14ac:dyDescent="0.2">
      <c r="A307" s="89"/>
      <c r="B307" s="90">
        <v>5511</v>
      </c>
      <c r="C307" s="72" t="s">
        <v>104</v>
      </c>
      <c r="D307" s="102"/>
      <c r="E307" s="71"/>
      <c r="F307" s="72"/>
      <c r="G307" s="72"/>
      <c r="H307" s="72"/>
      <c r="I307" s="71">
        <v>155</v>
      </c>
      <c r="J307" s="73">
        <v>0</v>
      </c>
      <c r="K307" s="74"/>
      <c r="L307" s="74">
        <f>SUM(L308:L309)</f>
        <v>0</v>
      </c>
      <c r="M307" s="74">
        <f t="shared" ref="M307:N307" si="144">SUM(M308:M309)</f>
        <v>0</v>
      </c>
      <c r="N307" s="74">
        <f t="shared" si="144"/>
        <v>0</v>
      </c>
      <c r="O307" s="74"/>
      <c r="P307" s="67">
        <f t="shared" ref="P307" si="145">SUM(P308:P309)</f>
        <v>0</v>
      </c>
      <c r="Q307" s="87"/>
      <c r="R307" s="88"/>
    </row>
    <row r="308" spans="1:25" s="49" customFormat="1" ht="0.95" customHeight="1" x14ac:dyDescent="0.2">
      <c r="A308" s="184"/>
      <c r="B308" s="185"/>
      <c r="C308" s="154" t="s">
        <v>121</v>
      </c>
      <c r="D308" s="157"/>
      <c r="E308" s="158"/>
      <c r="F308" s="154"/>
      <c r="G308" s="154"/>
      <c r="H308" s="154"/>
      <c r="I308" s="158"/>
      <c r="J308" s="159"/>
      <c r="K308" s="153"/>
      <c r="L308" s="153">
        <f t="shared" ref="L308:L310" si="146">+K308+J308</f>
        <v>0</v>
      </c>
      <c r="M308" s="153"/>
      <c r="N308" s="153">
        <f>+M308+L308</f>
        <v>0</v>
      </c>
      <c r="O308" s="153"/>
      <c r="P308" s="155">
        <f>+N308+M308</f>
        <v>0</v>
      </c>
      <c r="Q308" s="87"/>
      <c r="R308" s="88"/>
    </row>
    <row r="309" spans="1:25" s="49" customFormat="1" ht="14.1" hidden="1" customHeight="1" x14ac:dyDescent="0.2">
      <c r="A309" s="184"/>
      <c r="B309" s="185"/>
      <c r="C309" s="154" t="s">
        <v>198</v>
      </c>
      <c r="D309" s="157">
        <v>0</v>
      </c>
      <c r="E309" s="158"/>
      <c r="F309" s="154"/>
      <c r="G309" s="154"/>
      <c r="H309" s="154"/>
      <c r="I309" s="158"/>
      <c r="J309" s="159"/>
      <c r="K309" s="153"/>
      <c r="L309" s="153">
        <f t="shared" si="146"/>
        <v>0</v>
      </c>
      <c r="M309" s="153"/>
      <c r="N309" s="153">
        <f t="shared" ref="N309:N310" si="147">+M309+L309</f>
        <v>0</v>
      </c>
      <c r="O309" s="153"/>
      <c r="P309" s="155">
        <f>+N309+M309</f>
        <v>0</v>
      </c>
      <c r="Q309" s="87"/>
      <c r="R309" s="88"/>
    </row>
    <row r="310" spans="1:25" ht="14.1" customHeight="1" x14ac:dyDescent="0.2">
      <c r="A310" s="89"/>
      <c r="B310" s="90">
        <v>5512</v>
      </c>
      <c r="C310" s="72" t="s">
        <v>189</v>
      </c>
      <c r="D310" s="102">
        <v>100000</v>
      </c>
      <c r="E310" s="71"/>
      <c r="F310" s="72">
        <v>100000</v>
      </c>
      <c r="G310" s="72"/>
      <c r="H310" s="72">
        <v>100000</v>
      </c>
      <c r="I310" s="71">
        <v>86920</v>
      </c>
      <c r="J310" s="73">
        <v>100000</v>
      </c>
      <c r="K310" s="74">
        <v>55000</v>
      </c>
      <c r="L310" s="74">
        <f t="shared" si="146"/>
        <v>155000</v>
      </c>
      <c r="M310" s="74"/>
      <c r="N310" s="74">
        <f t="shared" si="147"/>
        <v>155000</v>
      </c>
      <c r="O310" s="74">
        <v>128969</v>
      </c>
      <c r="P310" s="67">
        <v>220000</v>
      </c>
      <c r="Q310" s="87">
        <f t="shared" si="109"/>
        <v>0.41935483870967744</v>
      </c>
      <c r="R310" s="88" t="s">
        <v>1244</v>
      </c>
    </row>
    <row r="311" spans="1:25" ht="14.1" customHeight="1" x14ac:dyDescent="0.2">
      <c r="A311" s="146" t="s">
        <v>664</v>
      </c>
      <c r="B311" s="147"/>
      <c r="C311" s="148" t="s">
        <v>207</v>
      </c>
      <c r="D311" s="149">
        <v>56500</v>
      </c>
      <c r="E311" s="151"/>
      <c r="F311" s="137">
        <f t="shared" ref="F311:F350" si="148">+E311+D311</f>
        <v>56500</v>
      </c>
      <c r="G311" s="137">
        <f>+G312</f>
        <v>-15000</v>
      </c>
      <c r="H311" s="137">
        <f t="shared" ref="H311:M311" si="149">+H312+H313</f>
        <v>41500</v>
      </c>
      <c r="I311" s="151">
        <f t="shared" si="149"/>
        <v>23641.58</v>
      </c>
      <c r="J311" s="152">
        <f t="shared" si="149"/>
        <v>56500</v>
      </c>
      <c r="K311" s="152">
        <f t="shared" si="149"/>
        <v>-6500</v>
      </c>
      <c r="L311" s="152">
        <f t="shared" si="149"/>
        <v>50000</v>
      </c>
      <c r="M311" s="152">
        <f t="shared" si="149"/>
        <v>0</v>
      </c>
      <c r="N311" s="152">
        <f t="shared" ref="N311" si="150">+N312+N313</f>
        <v>50000</v>
      </c>
      <c r="O311" s="152">
        <f t="shared" ref="O311:P311" si="151">+O312+O313</f>
        <v>25662</v>
      </c>
      <c r="P311" s="152">
        <f t="shared" si="151"/>
        <v>50686</v>
      </c>
      <c r="Q311" s="87">
        <f t="shared" si="109"/>
        <v>1.372E-2</v>
      </c>
      <c r="R311" s="88"/>
      <c r="S311" s="53"/>
    </row>
    <row r="312" spans="1:25" ht="14.1" customHeight="1" x14ac:dyDescent="0.2">
      <c r="A312" s="94"/>
      <c r="B312" s="95">
        <v>45</v>
      </c>
      <c r="C312" s="53" t="s">
        <v>1598</v>
      </c>
      <c r="D312" s="43">
        <v>20000</v>
      </c>
      <c r="E312" s="71"/>
      <c r="F312" s="98">
        <f t="shared" si="148"/>
        <v>20000</v>
      </c>
      <c r="G312" s="98">
        <v>-15000</v>
      </c>
      <c r="H312" s="98">
        <f>+G312+F312</f>
        <v>5000</v>
      </c>
      <c r="I312" s="71">
        <v>0</v>
      </c>
      <c r="J312" s="73">
        <v>20000</v>
      </c>
      <c r="K312" s="74"/>
      <c r="L312" s="142">
        <v>20000</v>
      </c>
      <c r="M312" s="142"/>
      <c r="N312" s="142">
        <f>+L312+M312</f>
        <v>20000</v>
      </c>
      <c r="O312" s="142">
        <v>3702</v>
      </c>
      <c r="P312" s="142">
        <f>+M312+N312</f>
        <v>20000</v>
      </c>
      <c r="Q312" s="87">
        <f t="shared" si="109"/>
        <v>0</v>
      </c>
      <c r="R312" s="88" t="s">
        <v>1245</v>
      </c>
      <c r="S312" s="53"/>
    </row>
    <row r="313" spans="1:25" ht="14.1" customHeight="1" x14ac:dyDescent="0.2">
      <c r="A313" s="89"/>
      <c r="B313" s="90">
        <v>55</v>
      </c>
      <c r="C313" s="172" t="s">
        <v>104</v>
      </c>
      <c r="D313" s="43">
        <v>36500</v>
      </c>
      <c r="E313" s="71"/>
      <c r="F313" s="98">
        <f t="shared" si="148"/>
        <v>36500</v>
      </c>
      <c r="G313" s="98"/>
      <c r="H313" s="98">
        <v>36500</v>
      </c>
      <c r="I313" s="71">
        <f>+I314+I325+I326+I327+I328+I329</f>
        <v>23641.58</v>
      </c>
      <c r="J313" s="73">
        <f>+J314+J325+J326+J327+J328+J329</f>
        <v>36500</v>
      </c>
      <c r="K313" s="73">
        <f>+K314+K325+K326+K327+K328+K329</f>
        <v>-6500</v>
      </c>
      <c r="L313" s="141">
        <f>+L314+L325+L326+L327+L328+L329</f>
        <v>30000</v>
      </c>
      <c r="M313" s="141">
        <f t="shared" ref="M313:N313" si="152">+M314+M325+M326+M327+M328+M329</f>
        <v>0</v>
      </c>
      <c r="N313" s="141">
        <f t="shared" si="152"/>
        <v>30000</v>
      </c>
      <c r="O313" s="141">
        <f t="shared" ref="O313:P313" si="153">+O314+O325+O326+O327+O328+O329</f>
        <v>21960</v>
      </c>
      <c r="P313" s="141">
        <f t="shared" si="153"/>
        <v>30686</v>
      </c>
      <c r="Q313" s="87">
        <f t="shared" si="109"/>
        <v>2.2866666666666667E-2</v>
      </c>
      <c r="R313" s="88"/>
      <c r="S313" s="49"/>
    </row>
    <row r="314" spans="1:25" ht="14.1" customHeight="1" x14ac:dyDescent="0.2">
      <c r="A314" s="89"/>
      <c r="B314" s="90">
        <v>5511</v>
      </c>
      <c r="C314" s="72" t="s">
        <v>110</v>
      </c>
      <c r="D314" s="102">
        <v>36500</v>
      </c>
      <c r="E314" s="71"/>
      <c r="F314" s="74">
        <f t="shared" si="148"/>
        <v>36500</v>
      </c>
      <c r="G314" s="98"/>
      <c r="H314" s="98"/>
      <c r="I314" s="71">
        <f>+I315+I316+I317+I318+I319+I320+I321+I322+I323+I324</f>
        <v>19615.580000000002</v>
      </c>
      <c r="J314" s="73">
        <v>36500</v>
      </c>
      <c r="K314" s="74">
        <v>-6500</v>
      </c>
      <c r="L314" s="74">
        <f>+K314+J314</f>
        <v>30000</v>
      </c>
      <c r="M314" s="74"/>
      <c r="N314" s="74">
        <f>+M314+L314</f>
        <v>30000</v>
      </c>
      <c r="O314" s="74">
        <f>SUM(O315:O324)</f>
        <v>18627</v>
      </c>
      <c r="P314" s="67">
        <f>SUM(P315:P324)</f>
        <v>29986</v>
      </c>
      <c r="Q314" s="87">
        <f t="shared" si="109"/>
        <v>-4.6666666666666666E-4</v>
      </c>
      <c r="R314" s="88" t="s">
        <v>1599</v>
      </c>
      <c r="S314" s="49"/>
    </row>
    <row r="315" spans="1:25" s="49" customFormat="1" ht="14.1" customHeight="1" x14ac:dyDescent="0.25">
      <c r="A315" s="184"/>
      <c r="B315" s="185"/>
      <c r="C315" s="175" t="s">
        <v>120</v>
      </c>
      <c r="D315" s="157">
        <v>0</v>
      </c>
      <c r="E315" s="158"/>
      <c r="F315" s="153">
        <f t="shared" si="148"/>
        <v>0</v>
      </c>
      <c r="G315" s="186"/>
      <c r="H315" s="186"/>
      <c r="I315" s="158"/>
      <c r="J315" s="159"/>
      <c r="K315" s="153"/>
      <c r="L315" s="153"/>
      <c r="M315" s="153"/>
      <c r="N315" s="153"/>
      <c r="O315" s="153"/>
      <c r="P315" s="155">
        <v>0</v>
      </c>
      <c r="Q315" s="87"/>
      <c r="R315" s="88"/>
    </row>
    <row r="316" spans="1:25" s="49" customFormat="1" ht="14.1" customHeight="1" x14ac:dyDescent="0.25">
      <c r="A316" s="184"/>
      <c r="B316" s="185"/>
      <c r="C316" s="175" t="s">
        <v>121</v>
      </c>
      <c r="D316" s="157">
        <v>0</v>
      </c>
      <c r="E316" s="158"/>
      <c r="F316" s="153">
        <f t="shared" si="148"/>
        <v>0</v>
      </c>
      <c r="G316" s="186"/>
      <c r="H316" s="186"/>
      <c r="I316" s="153">
        <v>5514.79</v>
      </c>
      <c r="J316" s="159"/>
      <c r="K316" s="153"/>
      <c r="L316" s="153"/>
      <c r="M316" s="153"/>
      <c r="N316" s="153"/>
      <c r="O316" s="153">
        <v>7630</v>
      </c>
      <c r="P316" s="155">
        <v>11600</v>
      </c>
      <c r="Q316" s="87">
        <v>1</v>
      </c>
      <c r="R316" s="88"/>
    </row>
    <row r="317" spans="1:25" s="49" customFormat="1" ht="14.1" customHeight="1" x14ac:dyDescent="0.25">
      <c r="A317" s="184"/>
      <c r="B317" s="185"/>
      <c r="C317" s="175" t="s">
        <v>122</v>
      </c>
      <c r="D317" s="157">
        <v>0</v>
      </c>
      <c r="E317" s="158"/>
      <c r="F317" s="153">
        <f t="shared" si="148"/>
        <v>0</v>
      </c>
      <c r="G317" s="186"/>
      <c r="H317" s="186"/>
      <c r="I317" s="153">
        <v>4469.07</v>
      </c>
      <c r="J317" s="159"/>
      <c r="K317" s="153"/>
      <c r="L317" s="153"/>
      <c r="M317" s="153"/>
      <c r="N317" s="153"/>
      <c r="O317" s="153">
        <v>1454</v>
      </c>
      <c r="P317" s="155">
        <v>1600</v>
      </c>
      <c r="Q317" s="87">
        <v>1</v>
      </c>
      <c r="R317" s="88"/>
    </row>
    <row r="318" spans="1:25" s="49" customFormat="1" ht="14.1" customHeight="1" x14ac:dyDescent="0.25">
      <c r="A318" s="184"/>
      <c r="B318" s="185"/>
      <c r="C318" s="175" t="s">
        <v>123</v>
      </c>
      <c r="D318" s="157">
        <v>0</v>
      </c>
      <c r="E318" s="158"/>
      <c r="F318" s="153">
        <f t="shared" si="148"/>
        <v>0</v>
      </c>
      <c r="G318" s="186"/>
      <c r="H318" s="186"/>
      <c r="I318" s="153">
        <v>322.04000000000002</v>
      </c>
      <c r="J318" s="159"/>
      <c r="K318" s="153"/>
      <c r="L318" s="153"/>
      <c r="M318" s="153"/>
      <c r="N318" s="153"/>
      <c r="O318" s="153">
        <v>350</v>
      </c>
      <c r="P318" s="155">
        <v>600</v>
      </c>
      <c r="Q318" s="87">
        <v>1</v>
      </c>
      <c r="R318" s="88"/>
    </row>
    <row r="319" spans="1:25" s="49" customFormat="1" ht="14.1" customHeight="1" x14ac:dyDescent="0.25">
      <c r="A319" s="184"/>
      <c r="B319" s="185"/>
      <c r="C319" s="175" t="s">
        <v>124</v>
      </c>
      <c r="D319" s="157">
        <v>0</v>
      </c>
      <c r="E319" s="158"/>
      <c r="F319" s="153">
        <f t="shared" si="148"/>
        <v>0</v>
      </c>
      <c r="G319" s="186"/>
      <c r="H319" s="186"/>
      <c r="I319" s="153">
        <v>2781.68</v>
      </c>
      <c r="J319" s="159"/>
      <c r="K319" s="153"/>
      <c r="L319" s="153"/>
      <c r="M319" s="153"/>
      <c r="N319" s="153"/>
      <c r="O319" s="153">
        <v>2431</v>
      </c>
      <c r="P319" s="155">
        <v>2500</v>
      </c>
      <c r="Q319" s="87">
        <v>1</v>
      </c>
      <c r="R319" s="88"/>
    </row>
    <row r="320" spans="1:25" s="49" customFormat="1" ht="14.1" customHeight="1" x14ac:dyDescent="0.25">
      <c r="A320" s="184"/>
      <c r="B320" s="185"/>
      <c r="C320" s="175" t="s">
        <v>125</v>
      </c>
      <c r="D320" s="157">
        <v>0</v>
      </c>
      <c r="E320" s="158"/>
      <c r="F320" s="153">
        <f t="shared" si="148"/>
        <v>0</v>
      </c>
      <c r="G320" s="186"/>
      <c r="H320" s="186"/>
      <c r="I320" s="153">
        <v>398.4</v>
      </c>
      <c r="J320" s="159"/>
      <c r="K320" s="153"/>
      <c r="L320" s="153"/>
      <c r="M320" s="153"/>
      <c r="N320" s="153"/>
      <c r="O320" s="153">
        <v>240</v>
      </c>
      <c r="P320" s="155">
        <v>300</v>
      </c>
      <c r="Q320" s="87">
        <v>1</v>
      </c>
      <c r="R320" s="88"/>
    </row>
    <row r="321" spans="1:19" s="49" customFormat="1" ht="14.1" customHeight="1" x14ac:dyDescent="0.25">
      <c r="A321" s="184"/>
      <c r="B321" s="185"/>
      <c r="C321" s="175" t="s">
        <v>198</v>
      </c>
      <c r="D321" s="157">
        <v>0</v>
      </c>
      <c r="E321" s="158"/>
      <c r="F321" s="153">
        <f t="shared" si="148"/>
        <v>0</v>
      </c>
      <c r="G321" s="186"/>
      <c r="H321" s="186"/>
      <c r="I321" s="153">
        <v>1176.0999999999999</v>
      </c>
      <c r="J321" s="159"/>
      <c r="K321" s="153"/>
      <c r="L321" s="153"/>
      <c r="M321" s="153"/>
      <c r="N321" s="153"/>
      <c r="O321" s="153">
        <v>1245</v>
      </c>
      <c r="P321" s="155">
        <v>5000</v>
      </c>
      <c r="Q321" s="87">
        <v>1</v>
      </c>
      <c r="R321" s="88" t="s">
        <v>1249</v>
      </c>
    </row>
    <row r="322" spans="1:19" s="49" customFormat="1" ht="14.1" customHeight="1" x14ac:dyDescent="0.25">
      <c r="A322" s="184"/>
      <c r="B322" s="185"/>
      <c r="C322" s="175" t="s">
        <v>127</v>
      </c>
      <c r="D322" s="157">
        <v>0</v>
      </c>
      <c r="E322" s="158"/>
      <c r="F322" s="153">
        <f t="shared" si="148"/>
        <v>0</v>
      </c>
      <c r="G322" s="186"/>
      <c r="H322" s="186"/>
      <c r="I322" s="153">
        <v>228.5</v>
      </c>
      <c r="J322" s="159"/>
      <c r="K322" s="153"/>
      <c r="L322" s="153"/>
      <c r="M322" s="153"/>
      <c r="N322" s="153"/>
      <c r="O322" s="153">
        <v>86</v>
      </c>
      <c r="P322" s="155">
        <v>86</v>
      </c>
      <c r="Q322" s="87">
        <v>1</v>
      </c>
      <c r="R322" s="88"/>
    </row>
    <row r="323" spans="1:19" s="49" customFormat="1" ht="14.1" customHeight="1" x14ac:dyDescent="0.25">
      <c r="A323" s="184"/>
      <c r="B323" s="185"/>
      <c r="C323" s="175" t="s">
        <v>208</v>
      </c>
      <c r="D323" s="157">
        <v>0</v>
      </c>
      <c r="E323" s="158"/>
      <c r="F323" s="153">
        <f t="shared" si="148"/>
        <v>0</v>
      </c>
      <c r="G323" s="186"/>
      <c r="H323" s="186"/>
      <c r="I323" s="158"/>
      <c r="J323" s="159"/>
      <c r="K323" s="153"/>
      <c r="L323" s="153"/>
      <c r="M323" s="153"/>
      <c r="N323" s="153"/>
      <c r="O323" s="153"/>
      <c r="P323" s="155"/>
      <c r="Q323" s="87">
        <v>1</v>
      </c>
      <c r="R323" s="88"/>
    </row>
    <row r="324" spans="1:19" s="49" customFormat="1" ht="14.1" customHeight="1" x14ac:dyDescent="0.25">
      <c r="A324" s="184"/>
      <c r="B324" s="185"/>
      <c r="C324" s="175" t="s">
        <v>209</v>
      </c>
      <c r="D324" s="157">
        <v>0</v>
      </c>
      <c r="E324" s="158"/>
      <c r="F324" s="153">
        <f t="shared" si="148"/>
        <v>0</v>
      </c>
      <c r="G324" s="186"/>
      <c r="H324" s="186"/>
      <c r="I324" s="158">
        <v>4725</v>
      </c>
      <c r="J324" s="159"/>
      <c r="K324" s="153"/>
      <c r="L324" s="153"/>
      <c r="M324" s="153"/>
      <c r="N324" s="153"/>
      <c r="O324" s="153">
        <v>5191</v>
      </c>
      <c r="P324" s="155">
        <v>8300</v>
      </c>
      <c r="Q324" s="87">
        <v>1</v>
      </c>
      <c r="R324" s="88" t="s">
        <v>1137</v>
      </c>
    </row>
    <row r="325" spans="1:19" ht="12.6" customHeight="1" x14ac:dyDescent="0.2">
      <c r="A325" s="184"/>
      <c r="B325" s="90">
        <v>5512</v>
      </c>
      <c r="C325" s="72" t="s">
        <v>189</v>
      </c>
      <c r="D325" s="102">
        <v>0</v>
      </c>
      <c r="E325" s="71"/>
      <c r="F325" s="74">
        <f t="shared" si="148"/>
        <v>0</v>
      </c>
      <c r="G325" s="98"/>
      <c r="H325" s="98"/>
      <c r="I325" s="71">
        <v>212</v>
      </c>
      <c r="J325" s="73"/>
      <c r="K325" s="74"/>
      <c r="L325" s="74"/>
      <c r="M325" s="74"/>
      <c r="N325" s="74">
        <f t="shared" ref="N325:N329" si="154">+M325+L325</f>
        <v>0</v>
      </c>
      <c r="O325" s="74">
        <v>102</v>
      </c>
      <c r="P325" s="67">
        <f>+N325+M325</f>
        <v>0</v>
      </c>
      <c r="Q325" s="87"/>
      <c r="R325" s="88"/>
    </row>
    <row r="326" spans="1:19" ht="14.1" hidden="1" customHeight="1" x14ac:dyDescent="0.2">
      <c r="A326" s="184"/>
      <c r="B326" s="90">
        <v>5513</v>
      </c>
      <c r="C326" s="72" t="s">
        <v>130</v>
      </c>
      <c r="D326" s="102">
        <v>0</v>
      </c>
      <c r="E326" s="71"/>
      <c r="F326" s="74">
        <f t="shared" si="148"/>
        <v>0</v>
      </c>
      <c r="G326" s="98"/>
      <c r="H326" s="98"/>
      <c r="I326" s="71"/>
      <c r="J326" s="73"/>
      <c r="K326" s="74"/>
      <c r="L326" s="74"/>
      <c r="M326" s="74"/>
      <c r="N326" s="74">
        <f t="shared" si="154"/>
        <v>0</v>
      </c>
      <c r="O326" s="74"/>
      <c r="P326" s="67">
        <f>+N326+M326</f>
        <v>0</v>
      </c>
      <c r="Q326" s="87"/>
      <c r="R326" s="88"/>
    </row>
    <row r="327" spans="1:19" ht="14.1" customHeight="1" x14ac:dyDescent="0.2">
      <c r="A327" s="184"/>
      <c r="B327" s="90">
        <v>5515</v>
      </c>
      <c r="C327" s="72" t="s">
        <v>133</v>
      </c>
      <c r="D327" s="102">
        <v>0</v>
      </c>
      <c r="E327" s="71"/>
      <c r="F327" s="74">
        <f t="shared" si="148"/>
        <v>0</v>
      </c>
      <c r="G327" s="98"/>
      <c r="H327" s="98"/>
      <c r="I327" s="71">
        <v>820</v>
      </c>
      <c r="J327" s="73"/>
      <c r="K327" s="74"/>
      <c r="L327" s="74"/>
      <c r="M327" s="74"/>
      <c r="N327" s="74">
        <f t="shared" si="154"/>
        <v>0</v>
      </c>
      <c r="O327" s="74">
        <v>262</v>
      </c>
      <c r="P327" s="67">
        <v>300</v>
      </c>
      <c r="Q327" s="87">
        <v>1</v>
      </c>
      <c r="R327" s="88"/>
    </row>
    <row r="328" spans="1:19" ht="14.1" customHeight="1" x14ac:dyDescent="0.2">
      <c r="A328" s="184"/>
      <c r="B328" s="90">
        <v>5516</v>
      </c>
      <c r="C328" s="56" t="s">
        <v>210</v>
      </c>
      <c r="D328" s="102"/>
      <c r="E328" s="71"/>
      <c r="F328" s="74">
        <f t="shared" si="148"/>
        <v>0</v>
      </c>
      <c r="G328" s="98"/>
      <c r="H328" s="98"/>
      <c r="I328" s="71">
        <v>578</v>
      </c>
      <c r="J328" s="73"/>
      <c r="K328" s="74"/>
      <c r="L328" s="74"/>
      <c r="M328" s="74"/>
      <c r="N328" s="74">
        <f t="shared" si="154"/>
        <v>0</v>
      </c>
      <c r="O328" s="74"/>
      <c r="P328" s="67">
        <v>400</v>
      </c>
      <c r="Q328" s="87">
        <v>1</v>
      </c>
      <c r="R328" s="88"/>
    </row>
    <row r="329" spans="1:19" ht="14.1" customHeight="1" x14ac:dyDescent="0.2">
      <c r="A329" s="184"/>
      <c r="B329" s="90">
        <v>5540</v>
      </c>
      <c r="C329" s="72" t="s">
        <v>193</v>
      </c>
      <c r="D329" s="102">
        <v>0</v>
      </c>
      <c r="E329" s="71"/>
      <c r="F329" s="74">
        <f t="shared" si="148"/>
        <v>0</v>
      </c>
      <c r="G329" s="98"/>
      <c r="H329" s="98"/>
      <c r="I329" s="71">
        <v>2416</v>
      </c>
      <c r="J329" s="73"/>
      <c r="K329" s="74"/>
      <c r="L329" s="74"/>
      <c r="M329" s="74"/>
      <c r="N329" s="74">
        <f t="shared" si="154"/>
        <v>0</v>
      </c>
      <c r="O329" s="74">
        <v>2969</v>
      </c>
      <c r="P329" s="67">
        <v>0</v>
      </c>
      <c r="Q329" s="87">
        <v>1</v>
      </c>
      <c r="R329" s="88" t="s">
        <v>1246</v>
      </c>
      <c r="S329" s="53"/>
    </row>
    <row r="330" spans="1:19" ht="14.1" customHeight="1" x14ac:dyDescent="0.2">
      <c r="A330" s="146" t="s">
        <v>206</v>
      </c>
      <c r="B330" s="147"/>
      <c r="C330" s="148" t="s">
        <v>203</v>
      </c>
      <c r="D330" s="149">
        <v>46550</v>
      </c>
      <c r="E330" s="151">
        <f>+E331+E332</f>
        <v>6600</v>
      </c>
      <c r="F330" s="137">
        <f>+E330+D330</f>
        <v>53150</v>
      </c>
      <c r="G330" s="137">
        <f t="shared" ref="G330:N330" si="155">+G331+G332</f>
        <v>10000</v>
      </c>
      <c r="H330" s="137">
        <f t="shared" si="155"/>
        <v>63150</v>
      </c>
      <c r="I330" s="151">
        <f t="shared" si="155"/>
        <v>55189</v>
      </c>
      <c r="J330" s="152">
        <f t="shared" si="155"/>
        <v>70513</v>
      </c>
      <c r="K330" s="152">
        <f t="shared" si="155"/>
        <v>-20000</v>
      </c>
      <c r="L330" s="152">
        <f t="shared" si="155"/>
        <v>50513</v>
      </c>
      <c r="M330" s="152">
        <f t="shared" si="155"/>
        <v>-200</v>
      </c>
      <c r="N330" s="152">
        <f t="shared" si="155"/>
        <v>50313</v>
      </c>
      <c r="O330" s="152">
        <f t="shared" ref="O330:P330" si="156">+O331+O332</f>
        <v>30242</v>
      </c>
      <c r="P330" s="152">
        <f t="shared" si="156"/>
        <v>61903</v>
      </c>
      <c r="Q330" s="87">
        <f t="shared" ref="Q330:Q397" si="157">(P330-N330)/N330</f>
        <v>0.23035795917556098</v>
      </c>
      <c r="R330" s="88"/>
      <c r="S330" s="53"/>
    </row>
    <row r="331" spans="1:19" ht="14.1" customHeight="1" x14ac:dyDescent="0.2">
      <c r="A331" s="89"/>
      <c r="B331" s="95" t="s">
        <v>101</v>
      </c>
      <c r="C331" s="96" t="s">
        <v>146</v>
      </c>
      <c r="D331" s="43">
        <v>14950</v>
      </c>
      <c r="E331" s="71">
        <v>0</v>
      </c>
      <c r="F331" s="74">
        <f>+E331+D331</f>
        <v>14950</v>
      </c>
      <c r="G331" s="74">
        <v>0</v>
      </c>
      <c r="H331" s="74">
        <f>+G331+F331</f>
        <v>14950</v>
      </c>
      <c r="I331" s="71">
        <v>9511</v>
      </c>
      <c r="J331" s="73">
        <v>6513</v>
      </c>
      <c r="K331" s="74"/>
      <c r="L331" s="140">
        <f>+K331+J331</f>
        <v>6513</v>
      </c>
      <c r="M331" s="92">
        <v>8300</v>
      </c>
      <c r="N331" s="140">
        <f t="shared" ref="N331" si="158">+M331+L331</f>
        <v>14813</v>
      </c>
      <c r="O331" s="140">
        <v>12620</v>
      </c>
      <c r="P331" s="140">
        <f>12283+4500</f>
        <v>16783</v>
      </c>
      <c r="Q331" s="87">
        <f t="shared" si="157"/>
        <v>0.13299129143320057</v>
      </c>
      <c r="R331" s="88" t="s">
        <v>1387</v>
      </c>
    </row>
    <row r="332" spans="1:19" ht="14.1" customHeight="1" x14ac:dyDescent="0.2">
      <c r="A332" s="89"/>
      <c r="B332" s="95" t="s">
        <v>103</v>
      </c>
      <c r="C332" s="96" t="s">
        <v>104</v>
      </c>
      <c r="D332" s="43">
        <v>31600</v>
      </c>
      <c r="E332" s="71">
        <f>SUM(E333:E341)</f>
        <v>6600</v>
      </c>
      <c r="F332" s="74">
        <f>+E332+D332</f>
        <v>38200</v>
      </c>
      <c r="G332" s="74">
        <f>SUM(G333:G341)</f>
        <v>10000</v>
      </c>
      <c r="H332" s="74">
        <f>+G332+F332</f>
        <v>48200</v>
      </c>
      <c r="I332" s="71">
        <f>SUM(I333:I341)</f>
        <v>45678</v>
      </c>
      <c r="J332" s="73">
        <f>SUM(J333:J341)</f>
        <v>64000</v>
      </c>
      <c r="K332" s="74">
        <f>SUM(K333:K341)</f>
        <v>-20000</v>
      </c>
      <c r="L332" s="141">
        <f>SUM(L333:L341)</f>
        <v>44000</v>
      </c>
      <c r="M332" s="141">
        <f t="shared" ref="M332:N332" si="159">SUM(M333:M341)</f>
        <v>-8500</v>
      </c>
      <c r="N332" s="141">
        <f t="shared" si="159"/>
        <v>35500</v>
      </c>
      <c r="O332" s="141">
        <f t="shared" ref="O332:P332" si="160">SUM(O333:O341)</f>
        <v>17622</v>
      </c>
      <c r="P332" s="141">
        <f t="shared" si="160"/>
        <v>45120</v>
      </c>
      <c r="Q332" s="87">
        <f t="shared" si="157"/>
        <v>0.27098591549295775</v>
      </c>
      <c r="R332" s="88"/>
    </row>
    <row r="333" spans="1:19" ht="14.1" customHeight="1" x14ac:dyDescent="0.2">
      <c r="A333" s="89"/>
      <c r="B333" s="90">
        <v>5500</v>
      </c>
      <c r="C333" s="72" t="s">
        <v>180</v>
      </c>
      <c r="D333" s="102">
        <v>600</v>
      </c>
      <c r="E333" s="71"/>
      <c r="F333" s="74">
        <f>+E333+D333</f>
        <v>600</v>
      </c>
      <c r="G333" s="74"/>
      <c r="H333" s="74">
        <f t="shared" ref="H333" si="161">+G333+F333</f>
        <v>600</v>
      </c>
      <c r="I333" s="71">
        <v>10</v>
      </c>
      <c r="J333" s="73"/>
      <c r="K333" s="74"/>
      <c r="L333" s="74">
        <f>+K333+J333</f>
        <v>0</v>
      </c>
      <c r="M333" s="74"/>
      <c r="N333" s="74">
        <f>+M333+L333</f>
        <v>0</v>
      </c>
      <c r="O333" s="74">
        <v>84</v>
      </c>
      <c r="P333" s="67">
        <v>120</v>
      </c>
      <c r="Q333" s="87">
        <v>1</v>
      </c>
      <c r="R333" s="88" t="s">
        <v>1138</v>
      </c>
    </row>
    <row r="334" spans="1:19" ht="14.1" hidden="1" customHeight="1" x14ac:dyDescent="0.2">
      <c r="A334" s="89"/>
      <c r="B334" s="90">
        <v>5502</v>
      </c>
      <c r="C334" s="72" t="s">
        <v>116</v>
      </c>
      <c r="D334" s="102"/>
      <c r="E334" s="71"/>
      <c r="F334" s="74"/>
      <c r="G334" s="74"/>
      <c r="H334" s="74"/>
      <c r="I334" s="71">
        <v>2292</v>
      </c>
      <c r="J334" s="73"/>
      <c r="K334" s="74"/>
      <c r="L334" s="74">
        <f t="shared" ref="L334:L341" si="162">+K334+J334</f>
        <v>0</v>
      </c>
      <c r="M334" s="74"/>
      <c r="N334" s="74">
        <f t="shared" ref="N334:N341" si="163">+M334+L334</f>
        <v>0</v>
      </c>
      <c r="O334" s="74"/>
      <c r="P334" s="67">
        <f>+N334+M334</f>
        <v>0</v>
      </c>
      <c r="Q334" s="87"/>
      <c r="R334" s="88"/>
    </row>
    <row r="335" spans="1:19" ht="14.1" customHeight="1" x14ac:dyDescent="0.2">
      <c r="A335" s="89"/>
      <c r="B335" s="90">
        <v>5511</v>
      </c>
      <c r="C335" s="72" t="s">
        <v>110</v>
      </c>
      <c r="D335" s="102">
        <v>5000</v>
      </c>
      <c r="E335" s="71"/>
      <c r="F335" s="74">
        <f t="shared" ref="F335:F341" si="164">+E335+D335</f>
        <v>5000</v>
      </c>
      <c r="G335" s="74"/>
      <c r="H335" s="74">
        <f t="shared" ref="H335:H341" si="165">+G335+F335</f>
        <v>5000</v>
      </c>
      <c r="I335" s="71">
        <v>119</v>
      </c>
      <c r="J335" s="73"/>
      <c r="K335" s="74"/>
      <c r="L335" s="74">
        <f t="shared" si="162"/>
        <v>0</v>
      </c>
      <c r="M335" s="74"/>
      <c r="N335" s="74">
        <f t="shared" si="163"/>
        <v>0</v>
      </c>
      <c r="O335" s="74">
        <v>6</v>
      </c>
      <c r="P335" s="67">
        <f>+N335+M335</f>
        <v>0</v>
      </c>
      <c r="Q335" s="87"/>
      <c r="R335" s="88"/>
    </row>
    <row r="336" spans="1:19" ht="12.6" customHeight="1" x14ac:dyDescent="0.2">
      <c r="A336" s="89"/>
      <c r="B336" s="90">
        <v>5512</v>
      </c>
      <c r="C336" s="72" t="s">
        <v>189</v>
      </c>
      <c r="D336" s="102">
        <v>22500</v>
      </c>
      <c r="E336" s="71">
        <v>6000</v>
      </c>
      <c r="F336" s="74">
        <f t="shared" si="164"/>
        <v>28500</v>
      </c>
      <c r="G336" s="74">
        <v>10000</v>
      </c>
      <c r="H336" s="74">
        <f t="shared" si="165"/>
        <v>38500</v>
      </c>
      <c r="I336" s="71">
        <v>38403</v>
      </c>
      <c r="J336" s="73">
        <v>60000</v>
      </c>
      <c r="K336" s="74">
        <v>-20000</v>
      </c>
      <c r="L336" s="74">
        <f t="shared" si="162"/>
        <v>40000</v>
      </c>
      <c r="M336" s="92">
        <v>-8500</v>
      </c>
      <c r="N336" s="74">
        <f t="shared" si="163"/>
        <v>31500</v>
      </c>
      <c r="O336" s="74">
        <v>17487</v>
      </c>
      <c r="P336" s="67">
        <v>40000</v>
      </c>
      <c r="Q336" s="87">
        <f t="shared" si="157"/>
        <v>0.26984126984126983</v>
      </c>
      <c r="R336" s="88" t="s">
        <v>1248</v>
      </c>
    </row>
    <row r="337" spans="1:19" ht="0.6" hidden="1" customHeight="1" x14ac:dyDescent="0.2">
      <c r="A337" s="89"/>
      <c r="B337" s="90">
        <v>5513</v>
      </c>
      <c r="C337" s="72" t="s">
        <v>130</v>
      </c>
      <c r="D337" s="102">
        <v>0</v>
      </c>
      <c r="E337" s="71"/>
      <c r="F337" s="74">
        <f t="shared" si="164"/>
        <v>0</v>
      </c>
      <c r="G337" s="74"/>
      <c r="H337" s="74">
        <f t="shared" si="165"/>
        <v>0</v>
      </c>
      <c r="I337" s="71"/>
      <c r="J337" s="73"/>
      <c r="K337" s="74"/>
      <c r="L337" s="74">
        <f t="shared" si="162"/>
        <v>0</v>
      </c>
      <c r="M337" s="74"/>
      <c r="N337" s="74">
        <f t="shared" si="163"/>
        <v>0</v>
      </c>
      <c r="O337" s="74"/>
      <c r="P337" s="67">
        <f>+N337+M337</f>
        <v>0</v>
      </c>
      <c r="Q337" s="87"/>
      <c r="R337" s="88"/>
      <c r="S337" s="53"/>
    </row>
    <row r="338" spans="1:19" ht="14.1" hidden="1" customHeight="1" x14ac:dyDescent="0.2">
      <c r="A338" s="89"/>
      <c r="B338" s="90">
        <v>5514</v>
      </c>
      <c r="C338" s="72" t="s">
        <v>112</v>
      </c>
      <c r="D338" s="102">
        <v>0</v>
      </c>
      <c r="E338" s="71"/>
      <c r="F338" s="74">
        <f t="shared" si="164"/>
        <v>0</v>
      </c>
      <c r="G338" s="74"/>
      <c r="H338" s="74">
        <f t="shared" si="165"/>
        <v>0</v>
      </c>
      <c r="I338" s="71">
        <v>3570</v>
      </c>
      <c r="J338" s="73"/>
      <c r="K338" s="74"/>
      <c r="L338" s="74">
        <f t="shared" si="162"/>
        <v>0</v>
      </c>
      <c r="M338" s="74"/>
      <c r="N338" s="74">
        <f t="shared" si="163"/>
        <v>0</v>
      </c>
      <c r="O338" s="74"/>
      <c r="P338" s="67">
        <f>+N338+M338</f>
        <v>0</v>
      </c>
      <c r="Q338" s="87"/>
      <c r="R338" s="88"/>
      <c r="S338" s="53"/>
    </row>
    <row r="339" spans="1:19" ht="14.1" customHeight="1" x14ac:dyDescent="0.2">
      <c r="A339" s="89"/>
      <c r="B339" s="90">
        <v>5515</v>
      </c>
      <c r="C339" s="72" t="s">
        <v>133</v>
      </c>
      <c r="D339" s="102">
        <v>1000</v>
      </c>
      <c r="E339" s="71"/>
      <c r="F339" s="74">
        <f t="shared" si="164"/>
        <v>1000</v>
      </c>
      <c r="G339" s="74"/>
      <c r="H339" s="74">
        <f t="shared" si="165"/>
        <v>1000</v>
      </c>
      <c r="I339" s="71">
        <v>884</v>
      </c>
      <c r="J339" s="73">
        <v>4000</v>
      </c>
      <c r="K339" s="74"/>
      <c r="L339" s="74">
        <f t="shared" si="162"/>
        <v>4000</v>
      </c>
      <c r="M339" s="74"/>
      <c r="N339" s="74">
        <f t="shared" si="163"/>
        <v>4000</v>
      </c>
      <c r="O339" s="74">
        <v>45</v>
      </c>
      <c r="P339" s="67">
        <v>5000</v>
      </c>
      <c r="Q339" s="87">
        <f t="shared" si="157"/>
        <v>0.25</v>
      </c>
      <c r="R339" s="88" t="s">
        <v>1247</v>
      </c>
      <c r="S339" s="53"/>
    </row>
    <row r="340" spans="1:19" ht="14.1" customHeight="1" x14ac:dyDescent="0.2">
      <c r="A340" s="89"/>
      <c r="B340" s="90">
        <v>5532</v>
      </c>
      <c r="C340" s="72" t="s">
        <v>204</v>
      </c>
      <c r="D340" s="102">
        <v>2500</v>
      </c>
      <c r="E340" s="71"/>
      <c r="F340" s="74">
        <f t="shared" si="164"/>
        <v>2500</v>
      </c>
      <c r="G340" s="74"/>
      <c r="H340" s="74">
        <f t="shared" si="165"/>
        <v>2500</v>
      </c>
      <c r="I340" s="71"/>
      <c r="J340" s="73"/>
      <c r="K340" s="74"/>
      <c r="L340" s="74">
        <f t="shared" si="162"/>
        <v>0</v>
      </c>
      <c r="M340" s="74"/>
      <c r="N340" s="74">
        <f t="shared" si="163"/>
        <v>0</v>
      </c>
      <c r="O340" s="74"/>
      <c r="P340" s="67">
        <f>+N340+M340</f>
        <v>0</v>
      </c>
      <c r="Q340" s="87"/>
      <c r="R340" s="88"/>
      <c r="S340" s="53"/>
    </row>
    <row r="341" spans="1:19" ht="14.1" customHeight="1" x14ac:dyDescent="0.2">
      <c r="A341" s="89"/>
      <c r="B341" s="90">
        <v>5540</v>
      </c>
      <c r="C341" s="72" t="s">
        <v>193</v>
      </c>
      <c r="D341" s="102">
        <v>0</v>
      </c>
      <c r="E341" s="71">
        <v>600</v>
      </c>
      <c r="F341" s="74">
        <f t="shared" si="164"/>
        <v>600</v>
      </c>
      <c r="G341" s="74"/>
      <c r="H341" s="74">
        <f t="shared" si="165"/>
        <v>600</v>
      </c>
      <c r="I341" s="71">
        <v>400</v>
      </c>
      <c r="J341" s="73"/>
      <c r="K341" s="74"/>
      <c r="L341" s="74">
        <f t="shared" si="162"/>
        <v>0</v>
      </c>
      <c r="M341" s="74"/>
      <c r="N341" s="74">
        <f t="shared" si="163"/>
        <v>0</v>
      </c>
      <c r="O341" s="74"/>
      <c r="P341" s="67">
        <f>+N341+M341</f>
        <v>0</v>
      </c>
      <c r="Q341" s="87"/>
      <c r="R341" s="88"/>
      <c r="S341" s="53"/>
    </row>
    <row r="342" spans="1:19" ht="14.1" customHeight="1" x14ac:dyDescent="0.2">
      <c r="A342" s="187" t="s">
        <v>211</v>
      </c>
      <c r="B342" s="147"/>
      <c r="C342" s="188" t="s">
        <v>212</v>
      </c>
      <c r="D342" s="149">
        <v>7500</v>
      </c>
      <c r="E342" s="151">
        <f>+E343</f>
        <v>5477</v>
      </c>
      <c r="F342" s="137">
        <f t="shared" si="148"/>
        <v>12977</v>
      </c>
      <c r="G342" s="137">
        <v>0</v>
      </c>
      <c r="H342" s="137">
        <f>+H343</f>
        <v>12977</v>
      </c>
      <c r="I342" s="151">
        <f>+I343</f>
        <v>10654</v>
      </c>
      <c r="J342" s="189">
        <f>+J343</f>
        <v>11000</v>
      </c>
      <c r="K342" s="137">
        <f>+K343</f>
        <v>0</v>
      </c>
      <c r="L342" s="137">
        <f>+L343</f>
        <v>11000</v>
      </c>
      <c r="M342" s="137">
        <f t="shared" ref="M342:P342" si="166">+M343</f>
        <v>0</v>
      </c>
      <c r="N342" s="137">
        <f t="shared" si="166"/>
        <v>11000</v>
      </c>
      <c r="O342" s="137">
        <f t="shared" si="166"/>
        <v>6588</v>
      </c>
      <c r="P342" s="137">
        <f t="shared" si="166"/>
        <v>8000</v>
      </c>
      <c r="Q342" s="87">
        <f t="shared" si="157"/>
        <v>-0.27272727272727271</v>
      </c>
      <c r="R342" s="88"/>
    </row>
    <row r="343" spans="1:19" ht="14.1" customHeight="1" x14ac:dyDescent="0.2">
      <c r="A343" s="72"/>
      <c r="B343" s="52">
        <v>5540</v>
      </c>
      <c r="C343" s="56" t="s">
        <v>104</v>
      </c>
      <c r="D343" s="102">
        <v>7500</v>
      </c>
      <c r="E343" s="71">
        <v>5477</v>
      </c>
      <c r="F343" s="74">
        <f t="shared" si="148"/>
        <v>12977</v>
      </c>
      <c r="G343" s="74"/>
      <c r="H343" s="74">
        <v>12977</v>
      </c>
      <c r="I343" s="71">
        <v>10654</v>
      </c>
      <c r="J343" s="73">
        <v>11000</v>
      </c>
      <c r="K343" s="74">
        <v>0</v>
      </c>
      <c r="L343" s="141">
        <v>11000</v>
      </c>
      <c r="M343" s="141"/>
      <c r="N343" s="141">
        <f>+L343+M343</f>
        <v>11000</v>
      </c>
      <c r="O343" s="141">
        <v>6588</v>
      </c>
      <c r="P343" s="141">
        <v>8000</v>
      </c>
      <c r="Q343" s="87">
        <f t="shared" si="157"/>
        <v>-0.27272727272727271</v>
      </c>
      <c r="R343" s="88" t="s">
        <v>1426</v>
      </c>
    </row>
    <row r="344" spans="1:19" ht="13.5" thickBot="1" x14ac:dyDescent="0.25">
      <c r="A344" s="190" t="s">
        <v>665</v>
      </c>
      <c r="B344" s="113">
        <v>7</v>
      </c>
      <c r="C344" s="81" t="s">
        <v>213</v>
      </c>
      <c r="D344" s="82">
        <v>4400</v>
      </c>
      <c r="E344" s="83"/>
      <c r="F344" s="86">
        <f t="shared" si="148"/>
        <v>4400</v>
      </c>
      <c r="G344" s="86">
        <v>0</v>
      </c>
      <c r="H344" s="86">
        <f>+H350</f>
        <v>4400</v>
      </c>
      <c r="I344" s="83">
        <f>+I350</f>
        <v>4009</v>
      </c>
      <c r="J344" s="85">
        <f>+J350</f>
        <v>4400</v>
      </c>
      <c r="K344" s="86">
        <f>+K350</f>
        <v>0</v>
      </c>
      <c r="L344" s="86">
        <f>+L350</f>
        <v>4400</v>
      </c>
      <c r="M344" s="86">
        <f t="shared" ref="M344:P344" si="167">+M350</f>
        <v>4400</v>
      </c>
      <c r="N344" s="86">
        <f t="shared" si="167"/>
        <v>8800</v>
      </c>
      <c r="O344" s="86">
        <f t="shared" ref="O344" si="168">+O350</f>
        <v>6391</v>
      </c>
      <c r="P344" s="86">
        <f t="shared" si="167"/>
        <v>11459</v>
      </c>
      <c r="Q344" s="87">
        <f t="shared" si="157"/>
        <v>0.30215909090909093</v>
      </c>
      <c r="R344" s="88"/>
    </row>
    <row r="345" spans="1:19" ht="13.5" thickTop="1" x14ac:dyDescent="0.2">
      <c r="A345" s="137"/>
      <c r="B345" s="137"/>
      <c r="C345" s="137" t="s">
        <v>1067</v>
      </c>
      <c r="D345" s="137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>
        <f>N347+N348+N346+N349</f>
        <v>8800</v>
      </c>
      <c r="O345" s="137">
        <f>O347+O348+O346+O349</f>
        <v>6391</v>
      </c>
      <c r="P345" s="137">
        <f>P347+P348+P346+P349</f>
        <v>11459</v>
      </c>
      <c r="Q345" s="87"/>
      <c r="R345" s="88"/>
    </row>
    <row r="346" spans="1:19" ht="12.75" x14ac:dyDescent="0.2">
      <c r="A346" s="139"/>
      <c r="B346" s="139">
        <v>45</v>
      </c>
      <c r="C346" s="139" t="s">
        <v>1068</v>
      </c>
      <c r="D346" s="139"/>
      <c r="E346" s="139"/>
      <c r="F346" s="139"/>
      <c r="G346" s="139"/>
      <c r="H346" s="139"/>
      <c r="I346" s="139"/>
      <c r="J346" s="139"/>
      <c r="K346" s="139"/>
      <c r="L346" s="139"/>
      <c r="M346" s="139"/>
      <c r="N346" s="139">
        <v>0</v>
      </c>
      <c r="O346" s="139">
        <v>0</v>
      </c>
      <c r="P346" s="139">
        <v>0</v>
      </c>
      <c r="Q346" s="87"/>
      <c r="R346" s="88"/>
    </row>
    <row r="347" spans="1:19" ht="14.1" customHeight="1" x14ac:dyDescent="0.2">
      <c r="A347" s="140"/>
      <c r="B347" s="140">
        <v>50</v>
      </c>
      <c r="C347" s="140" t="s">
        <v>1069</v>
      </c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>
        <v>0</v>
      </c>
      <c r="O347" s="140">
        <v>0</v>
      </c>
      <c r="P347" s="140">
        <v>0</v>
      </c>
      <c r="Q347" s="87"/>
      <c r="R347" s="88"/>
    </row>
    <row r="348" spans="1:19" ht="14.1" customHeight="1" x14ac:dyDescent="0.2">
      <c r="A348" s="141"/>
      <c r="B348" s="141">
        <v>55</v>
      </c>
      <c r="C348" s="141" t="s">
        <v>1070</v>
      </c>
      <c r="D348" s="141"/>
      <c r="E348" s="141"/>
      <c r="F348" s="141"/>
      <c r="G348" s="141"/>
      <c r="H348" s="141"/>
      <c r="I348" s="141"/>
      <c r="J348" s="141"/>
      <c r="K348" s="141"/>
      <c r="L348" s="141"/>
      <c r="M348" s="141"/>
      <c r="N348" s="141">
        <f>+N350</f>
        <v>8800</v>
      </c>
      <c r="O348" s="141">
        <f>+O350</f>
        <v>6391</v>
      </c>
      <c r="P348" s="67">
        <f>+P350</f>
        <v>11459</v>
      </c>
      <c r="Q348" s="87"/>
      <c r="R348" s="88"/>
    </row>
    <row r="349" spans="1:19" ht="12.75" x14ac:dyDescent="0.2">
      <c r="A349" s="142"/>
      <c r="B349" s="142">
        <v>60</v>
      </c>
      <c r="C349" s="142" t="s">
        <v>1071</v>
      </c>
      <c r="D349" s="145"/>
      <c r="E349" s="142"/>
      <c r="F349" s="142"/>
      <c r="G349" s="142"/>
      <c r="H349" s="142"/>
      <c r="I349" s="142"/>
      <c r="J349" s="145"/>
      <c r="K349" s="142"/>
      <c r="L349" s="142"/>
      <c r="M349" s="142"/>
      <c r="N349" s="142">
        <v>0</v>
      </c>
      <c r="O349" s="142">
        <v>0</v>
      </c>
      <c r="P349" s="142">
        <v>0</v>
      </c>
      <c r="Q349" s="87"/>
      <c r="R349" s="88"/>
    </row>
    <row r="350" spans="1:19" ht="14.1" customHeight="1" x14ac:dyDescent="0.2">
      <c r="A350" s="180"/>
      <c r="B350" s="177">
        <v>55</v>
      </c>
      <c r="C350" s="178" t="s">
        <v>214</v>
      </c>
      <c r="D350" s="102">
        <v>4400</v>
      </c>
      <c r="E350" s="71"/>
      <c r="F350" s="74">
        <f t="shared" si="148"/>
        <v>4400</v>
      </c>
      <c r="G350" s="74"/>
      <c r="H350" s="74">
        <v>4400</v>
      </c>
      <c r="I350" s="71">
        <f>SUM(I352:I355)</f>
        <v>4009</v>
      </c>
      <c r="J350" s="73">
        <v>4400</v>
      </c>
      <c r="K350" s="74">
        <v>0</v>
      </c>
      <c r="L350" s="141">
        <v>4400</v>
      </c>
      <c r="M350" s="92">
        <v>4400</v>
      </c>
      <c r="N350" s="141">
        <f>+L350+M350</f>
        <v>8800</v>
      </c>
      <c r="O350" s="141">
        <f>O351+O358</f>
        <v>6391</v>
      </c>
      <c r="P350" s="141">
        <f>P351+P358</f>
        <v>11459</v>
      </c>
      <c r="Q350" s="87">
        <f t="shared" si="157"/>
        <v>0.30215909090909093</v>
      </c>
    </row>
    <row r="351" spans="1:19" ht="14.1" customHeight="1" x14ac:dyDescent="0.2">
      <c r="A351" s="180"/>
      <c r="B351" s="90">
        <v>5511</v>
      </c>
      <c r="C351" s="72" t="s">
        <v>110</v>
      </c>
      <c r="D351" s="102"/>
      <c r="E351" s="71"/>
      <c r="F351" s="74"/>
      <c r="G351" s="74"/>
      <c r="H351" s="74"/>
      <c r="I351" s="71"/>
      <c r="J351" s="73"/>
      <c r="K351" s="74"/>
      <c r="L351" s="141"/>
      <c r="M351" s="92"/>
      <c r="N351" s="74">
        <f t="shared" ref="N351" si="169">+M351+L351</f>
        <v>0</v>
      </c>
      <c r="O351" s="74">
        <f>SUM(O352:O357)</f>
        <v>6080</v>
      </c>
      <c r="P351" s="67">
        <f>P352+P353+P354+P355+P356+P357</f>
        <v>10959</v>
      </c>
      <c r="Q351" s="87"/>
      <c r="R351" s="88"/>
    </row>
    <row r="352" spans="1:19" s="49" customFormat="1" ht="14.1" customHeight="1" x14ac:dyDescent="0.2">
      <c r="A352" s="191"/>
      <c r="B352" s="192"/>
      <c r="C352" s="193" t="s">
        <v>615</v>
      </c>
      <c r="D352" s="157"/>
      <c r="E352" s="158"/>
      <c r="F352" s="154"/>
      <c r="G352" s="154"/>
      <c r="H352" s="154"/>
      <c r="I352" s="158"/>
      <c r="J352" s="159"/>
      <c r="K352" s="153"/>
      <c r="L352" s="153"/>
      <c r="M352" s="153"/>
      <c r="N352" s="153">
        <f>+L352+M352</f>
        <v>0</v>
      </c>
      <c r="O352" s="153"/>
      <c r="P352" s="155">
        <v>0</v>
      </c>
      <c r="Q352" s="87"/>
    </row>
    <row r="353" spans="1:21" s="49" customFormat="1" ht="14.1" customHeight="1" x14ac:dyDescent="0.2">
      <c r="A353" s="191"/>
      <c r="B353" s="192"/>
      <c r="C353" s="193" t="s">
        <v>121</v>
      </c>
      <c r="D353" s="157"/>
      <c r="E353" s="158"/>
      <c r="F353" s="154"/>
      <c r="G353" s="154"/>
      <c r="H353" s="154"/>
      <c r="I353" s="158">
        <v>3602</v>
      </c>
      <c r="J353" s="159"/>
      <c r="K353" s="153"/>
      <c r="L353" s="153"/>
      <c r="M353" s="153"/>
      <c r="N353" s="153">
        <f t="shared" ref="N353:N355" si="170">+L353+M353</f>
        <v>0</v>
      </c>
      <c r="O353" s="153">
        <v>5535</v>
      </c>
      <c r="P353" s="155">
        <v>10000</v>
      </c>
      <c r="Q353" s="87"/>
      <c r="R353" s="88" t="s">
        <v>1121</v>
      </c>
    </row>
    <row r="354" spans="1:21" s="49" customFormat="1" ht="14.1" customHeight="1" x14ac:dyDescent="0.2">
      <c r="A354" s="191"/>
      <c r="B354" s="192"/>
      <c r="C354" s="193" t="s">
        <v>122</v>
      </c>
      <c r="D354" s="157"/>
      <c r="E354" s="158"/>
      <c r="F354" s="154"/>
      <c r="G354" s="154"/>
      <c r="H354" s="154"/>
      <c r="I354" s="158">
        <v>13</v>
      </c>
      <c r="J354" s="159"/>
      <c r="K354" s="153"/>
      <c r="L354" s="153"/>
      <c r="M354" s="153"/>
      <c r="N354" s="153">
        <f t="shared" si="170"/>
        <v>0</v>
      </c>
      <c r="O354" s="153">
        <v>15</v>
      </c>
      <c r="P354" s="155">
        <v>50</v>
      </c>
      <c r="Q354" s="87"/>
      <c r="R354" s="88"/>
    </row>
    <row r="355" spans="1:21" s="49" customFormat="1" ht="14.1" customHeight="1" x14ac:dyDescent="0.2">
      <c r="A355" s="191"/>
      <c r="B355" s="192"/>
      <c r="C355" s="175" t="s">
        <v>124</v>
      </c>
      <c r="D355" s="157"/>
      <c r="E355" s="158"/>
      <c r="F355" s="154"/>
      <c r="G355" s="154"/>
      <c r="H355" s="154"/>
      <c r="I355" s="158">
        <v>394</v>
      </c>
      <c r="J355" s="159"/>
      <c r="K355" s="153"/>
      <c r="L355" s="153"/>
      <c r="M355" s="153"/>
      <c r="N355" s="153">
        <f t="shared" si="170"/>
        <v>0</v>
      </c>
      <c r="O355" s="153">
        <v>312</v>
      </c>
      <c r="P355" s="155">
        <v>400</v>
      </c>
      <c r="Q355" s="87"/>
      <c r="R355" s="88"/>
    </row>
    <row r="356" spans="1:21" s="49" customFormat="1" ht="14.1" customHeight="1" x14ac:dyDescent="0.2">
      <c r="A356" s="191"/>
      <c r="B356" s="192"/>
      <c r="C356" s="175" t="s">
        <v>198</v>
      </c>
      <c r="D356" s="157"/>
      <c r="E356" s="158"/>
      <c r="F356" s="154"/>
      <c r="G356" s="154"/>
      <c r="H356" s="154"/>
      <c r="I356" s="158"/>
      <c r="J356" s="159"/>
      <c r="K356" s="159"/>
      <c r="L356" s="159"/>
      <c r="M356" s="159"/>
      <c r="N356" s="153">
        <f t="shared" ref="N356:N357" si="171">+L356+M356</f>
        <v>0</v>
      </c>
      <c r="O356" s="153">
        <v>109</v>
      </c>
      <c r="P356" s="155">
        <v>400</v>
      </c>
      <c r="Q356" s="87"/>
      <c r="R356" s="88"/>
    </row>
    <row r="357" spans="1:21" s="49" customFormat="1" ht="14.1" customHeight="1" x14ac:dyDescent="0.2">
      <c r="A357" s="191"/>
      <c r="B357" s="192"/>
      <c r="C357" s="175" t="s">
        <v>127</v>
      </c>
      <c r="D357" s="157"/>
      <c r="E357" s="158"/>
      <c r="F357" s="154"/>
      <c r="G357" s="154"/>
      <c r="H357" s="154"/>
      <c r="I357" s="158"/>
      <c r="J357" s="159"/>
      <c r="K357" s="159"/>
      <c r="L357" s="159"/>
      <c r="M357" s="159"/>
      <c r="N357" s="153">
        <f t="shared" si="171"/>
        <v>0</v>
      </c>
      <c r="O357" s="153">
        <v>109</v>
      </c>
      <c r="P357" s="155">
        <v>109</v>
      </c>
      <c r="Q357" s="87"/>
      <c r="R357" s="88"/>
    </row>
    <row r="358" spans="1:21" s="49" customFormat="1" ht="14.1" customHeight="1" x14ac:dyDescent="0.2">
      <c r="A358" s="191"/>
      <c r="B358" s="90">
        <v>5515</v>
      </c>
      <c r="C358" s="72" t="s">
        <v>133</v>
      </c>
      <c r="D358" s="157"/>
      <c r="E358" s="158"/>
      <c r="F358" s="154"/>
      <c r="G358" s="154"/>
      <c r="H358" s="154"/>
      <c r="I358" s="158"/>
      <c r="J358" s="159"/>
      <c r="K358" s="159"/>
      <c r="L358" s="159"/>
      <c r="M358" s="159"/>
      <c r="N358" s="74">
        <f t="shared" ref="N358" si="172">+L358+M358</f>
        <v>0</v>
      </c>
      <c r="O358" s="74">
        <v>311</v>
      </c>
      <c r="P358" s="67">
        <v>500</v>
      </c>
      <c r="Q358" s="87"/>
      <c r="R358" s="88" t="s">
        <v>1120</v>
      </c>
    </row>
    <row r="359" spans="1:21" ht="14.1" customHeight="1" x14ac:dyDescent="0.2">
      <c r="A359" s="79" t="s">
        <v>215</v>
      </c>
      <c r="B359" s="80">
        <v>8</v>
      </c>
      <c r="C359" s="81" t="s">
        <v>216</v>
      </c>
      <c r="D359" s="82">
        <v>2045936</v>
      </c>
      <c r="E359" s="83">
        <f>+E365+E386+E397+E428+E444+E446+E471+E478+E490+E514+E539+E554+E570+E593+E614+E627+E632+E648+E666+E684+E707+E730+E746+E750+E771+E785+E802+E820+E831+E853+E875+E900+E924+E927+E936+E942+E944</f>
        <v>56315</v>
      </c>
      <c r="F359" s="86">
        <f>+F365+F386+F397+F428+F444+F446+F471+F478+F490+F514+F539+F554+F570+F593+F614+F627+F632+F648+F666+F684+F707+F730+F746+F750+F771+F785+F802+F820+F831+F853+F875+F900+F924+F927+F936+F942+F944</f>
        <v>2102251</v>
      </c>
      <c r="G359" s="86">
        <f>+G365+G386+G397+G428+G444+G446+G471+G478+G490+G514+G539+G570+G554+G593+G614+G627+G632+G648+G666+G684+G707+G730+G746+G750+G771+G785+G802+G820+G831+G853+G875+G900+G924+G927+G936+G942+G944</f>
        <v>3394</v>
      </c>
      <c r="H359" s="86">
        <f>+H365+H386+H397+H428+H444+H446+H471+H478+H490+H514+H539+H570+H554+H593+H614+H627+H632+H648+H666+H684+H707+H730+H746+H750+H771+H785+H802+H820+H831+H853+H875+H900+H924+H927+H936+H942+H944</f>
        <v>2105645</v>
      </c>
      <c r="I359" s="83">
        <f>+I365+I386+I397+I428+I444+I446+I471+I478+I490+I514+I539+I554+I570+I593+I614+I627+I632+I648+I666+I684+I707+I730+I746+I750+I771+I785+I802+I820+I831+I853+I875+I900+I924+I927+I936+I942+I944</f>
        <v>1622614.01</v>
      </c>
      <c r="J359" s="82">
        <f>+J365+J386+J397+J428+J444+J446+J471+J478+J490+J514+J539+J554+J570+J593+J614+J627+J632+J648+J666+J684+J707+J730+J746+J750+J771+J785+J802+J820+J831+J853+J875+J900+J924+J927+J936+J942+J944</f>
        <v>2318012</v>
      </c>
      <c r="K359" s="82">
        <f>+K365+K386+K397+K428+K444+K446+K471+K478+K490+K514+K539+K554+K570+K593+K614+K627+K632+K648+K666+K684+K707+K730+K746+K750+K771+K785+K802+K820+K831+K853+K875+K900+K924+K927+K936+K942+K944</f>
        <v>-125457</v>
      </c>
      <c r="L359" s="82">
        <f>+L365+L386+L397+L428+L444+L446+L471+L478+L490+L514+L539+L554+L570+L593+L614+L627+L632+L648+L666+L684+L707+L730+L746+L750+L771+L785+L802+L820+L831+L853+L875+L900+L924+L927+L936+L942+L944</f>
        <v>2190555</v>
      </c>
      <c r="M359" s="82">
        <f>+M365+M386+M397+M428+M444+M446+M471+M478+M490+M514+M539+M554+M570+M593+M614+M627+M632+M648+M666+M684+M707+M730+M746+M750+M771+M785+M802+M820+M831+M853+M875+M900+M924+M927+M936+M942+M944</f>
        <v>39096</v>
      </c>
      <c r="N359" s="82">
        <f>+N365+N386+N397+N428+N444+N446+N471+N478+N490+N514+N539+N554+N570+N593+N614+N627+N632+N648+N666+N684+N707+N730+N746+N750+N771+N785+N802+N820+N831+N853+N875+N900+N924+N927+N936+N942+N944+N423</f>
        <v>2229651</v>
      </c>
      <c r="O359" s="82">
        <f>+O365+O386+O397+O428+O444+O446+O471+O478+O490+O514+O539+O554+O570+O593+O614+O627+O632+O648+O666+O684+O707+O730+O746+O750+O771+O785+O802+O820+O831+O853+O875+O900+O924+O927+O936+O942+O944+O423</f>
        <v>1751540</v>
      </c>
      <c r="P359" s="82">
        <f>+P365+P386+P397+P428+P444+P446+P471+P478+P490+P514+P539+P554+P570+P593+P614+P627+P632+P648+P666+P684+P707+P730+P746+P750+P771+P785+P802+P820+P831+P853+P875+P900+P924+P927+P936+P942+P944+P423</f>
        <v>2647658</v>
      </c>
      <c r="Q359" s="87">
        <f t="shared" si="157"/>
        <v>0.18747642568276379</v>
      </c>
      <c r="R359" s="88"/>
      <c r="S359" s="53"/>
    </row>
    <row r="360" spans="1:21" ht="12.75" x14ac:dyDescent="0.2">
      <c r="A360" s="137"/>
      <c r="B360" s="137"/>
      <c r="C360" s="137" t="s">
        <v>1072</v>
      </c>
      <c r="D360" s="137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>
        <f>N362+N363+N361+N364</f>
        <v>2229651</v>
      </c>
      <c r="O360" s="137">
        <f>O362+O363+O361+O364</f>
        <v>1751540</v>
      </c>
      <c r="P360" s="137">
        <f>P362+P363+P361+P364</f>
        <v>2647658</v>
      </c>
      <c r="Q360" s="87">
        <f t="shared" si="157"/>
        <v>0.18747642568276379</v>
      </c>
      <c r="R360" s="88"/>
      <c r="S360" s="53"/>
    </row>
    <row r="361" spans="1:21" ht="14.1" customHeight="1" x14ac:dyDescent="0.2">
      <c r="A361" s="139"/>
      <c r="B361" s="139">
        <v>45</v>
      </c>
      <c r="C361" s="139" t="s">
        <v>1073</v>
      </c>
      <c r="D361" s="139"/>
      <c r="E361" s="139"/>
      <c r="F361" s="139"/>
      <c r="G361" s="139"/>
      <c r="H361" s="139"/>
      <c r="I361" s="139"/>
      <c r="J361" s="139"/>
      <c r="K361" s="139"/>
      <c r="L361" s="139"/>
      <c r="M361" s="139"/>
      <c r="N361" s="139">
        <f>N387+N445+N472+N633+N649+N925+N928+N943</f>
        <v>268210</v>
      </c>
      <c r="O361" s="139">
        <f>O387+O445+O472+O633+O649+O925+O928+O943</f>
        <v>251680</v>
      </c>
      <c r="P361" s="139">
        <f>P387+P445+P472+P633+P649+P925+P928+P943</f>
        <v>320944</v>
      </c>
      <c r="Q361" s="87">
        <f t="shared" si="157"/>
        <v>0.19661459304276499</v>
      </c>
      <c r="R361" s="88"/>
      <c r="S361" s="53"/>
    </row>
    <row r="362" spans="1:21" ht="14.1" customHeight="1" x14ac:dyDescent="0.2">
      <c r="A362" s="140"/>
      <c r="B362" s="140">
        <v>50</v>
      </c>
      <c r="C362" s="140" t="s">
        <v>1074</v>
      </c>
      <c r="D362" s="140"/>
      <c r="E362" s="140"/>
      <c r="F362" s="140"/>
      <c r="G362" s="140"/>
      <c r="H362" s="140"/>
      <c r="I362" s="140"/>
      <c r="J362" s="140"/>
      <c r="K362" s="140"/>
      <c r="L362" s="140"/>
      <c r="M362" s="140"/>
      <c r="N362" s="140">
        <f>N366+N398+N429+N447+N473+N479+N491+N515+N540+N555+N571+N594+N615+N628+N634+N650+N667+N685+N708+N731+N747+N751+N772+N786+N803+N821+N832+N854+N876+N901+N937+N945+N424</f>
        <v>992118</v>
      </c>
      <c r="O362" s="140">
        <f>O366+O398+O429+O447+O473+O479+O491+O515+O540+O555+O571+O594+O615+O628+O634+O650+O667+O685+O708+O731+O747+O751+O772+O786+O803+O821+O832+O854+O876+O901+O937+O945+O424</f>
        <v>808744</v>
      </c>
      <c r="P362" s="67">
        <f>P366+P398+P429+P447+P473+P479+P491+P515+P540+P555+P571+P594+P615+P628+P634+P650+P667+P685+P708+P731+P747+P751+P772+P786+P803+P821+P832+P854+P876+P901+P937+P945+P424</f>
        <v>1170729</v>
      </c>
      <c r="Q362" s="87">
        <f t="shared" si="157"/>
        <v>0.18002999643187606</v>
      </c>
      <c r="R362" s="88"/>
      <c r="S362" s="53"/>
    </row>
    <row r="363" spans="1:21" ht="12.75" customHeight="1" x14ac:dyDescent="0.2">
      <c r="A363" s="141"/>
      <c r="B363" s="141">
        <v>55</v>
      </c>
      <c r="C363" s="141" t="s">
        <v>1075</v>
      </c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>
        <f>N367+N388+N399+N430+N448+N474+N480+N492+N516+N541+N556+N572+N595+N616+N629+N635+N651+N668+N686+N709+N732+N748+N752+N773+N787+N804+N822+N833+N855+N877+N902+N926+N929+N938+N946+N425</f>
        <v>969323</v>
      </c>
      <c r="O363" s="141">
        <f>O367+O388+O399+O430+O448+O474+O480+O492+O516+O541+O556+O572+O595+O616+O629+O635+O651+O668+O686+O709+O732+O748+O752+O773+O787+O804+O822+O833+O855+O877+O902+O926+O929+O938+O946+O425</f>
        <v>691116</v>
      </c>
      <c r="P363" s="67">
        <f>P367+P388+P399+P430+P448+P474+P480+P492+P516+P541+P556+P572+P595+P616+P629+P635+P651+P668+P686+P709+P732+P748+P752+P773+P787+P804+P822+P833+P855+P877+P902+P926+P929+P938+P946+P425</f>
        <v>1155985</v>
      </c>
      <c r="Q363" s="87">
        <f t="shared" si="157"/>
        <v>0.19256945311315216</v>
      </c>
      <c r="R363" s="88"/>
      <c r="S363" s="53"/>
    </row>
    <row r="364" spans="1:21" ht="12.75" x14ac:dyDescent="0.2">
      <c r="A364" s="142"/>
      <c r="B364" s="142">
        <v>60</v>
      </c>
      <c r="C364" s="142" t="s">
        <v>1076</v>
      </c>
      <c r="D364" s="145"/>
      <c r="E364" s="142"/>
      <c r="F364" s="142"/>
      <c r="G364" s="142"/>
      <c r="H364" s="142"/>
      <c r="I364" s="142"/>
      <c r="J364" s="145"/>
      <c r="K364" s="142"/>
      <c r="L364" s="142"/>
      <c r="M364" s="142"/>
      <c r="N364" s="142">
        <v>0</v>
      </c>
      <c r="O364" s="142">
        <v>0</v>
      </c>
      <c r="P364" s="142">
        <v>0</v>
      </c>
      <c r="Q364" s="87"/>
      <c r="R364" s="88"/>
      <c r="S364" s="53"/>
    </row>
    <row r="365" spans="1:21" ht="14.1" customHeight="1" x14ac:dyDescent="0.2">
      <c r="A365" s="146" t="s">
        <v>787</v>
      </c>
      <c r="B365" s="147"/>
      <c r="C365" s="148" t="s">
        <v>217</v>
      </c>
      <c r="D365" s="149">
        <v>47205</v>
      </c>
      <c r="E365" s="151">
        <f>+E366+E367</f>
        <v>100</v>
      </c>
      <c r="F365" s="137">
        <f t="shared" ref="F365:F399" si="173">+E365+D365</f>
        <v>47305</v>
      </c>
      <c r="G365" s="137">
        <v>0</v>
      </c>
      <c r="H365" s="137">
        <f>+H366+H367</f>
        <v>47305</v>
      </c>
      <c r="I365" s="151">
        <f>+I366+I367</f>
        <v>36637.85</v>
      </c>
      <c r="J365" s="152">
        <f>+J366+J367</f>
        <v>49610</v>
      </c>
      <c r="K365" s="152">
        <f>+K366+K367</f>
        <v>0</v>
      </c>
      <c r="L365" s="152">
        <f>+L366+L367</f>
        <v>49610</v>
      </c>
      <c r="M365" s="152">
        <f t="shared" ref="M365:N365" si="174">+M366+M367</f>
        <v>0</v>
      </c>
      <c r="N365" s="152">
        <f t="shared" si="174"/>
        <v>49610</v>
      </c>
      <c r="O365" s="152">
        <f>+O366+O367</f>
        <v>39423</v>
      </c>
      <c r="P365" s="152">
        <f>+P366+P367</f>
        <v>69081</v>
      </c>
      <c r="Q365" s="87">
        <f t="shared" si="157"/>
        <v>0.39248135456561178</v>
      </c>
      <c r="R365" s="111">
        <v>180000</v>
      </c>
      <c r="S365" s="108" t="s">
        <v>1427</v>
      </c>
      <c r="U365" s="108" t="s">
        <v>815</v>
      </c>
    </row>
    <row r="366" spans="1:21" ht="14.1" customHeight="1" x14ac:dyDescent="0.2">
      <c r="A366" s="89"/>
      <c r="B366" s="95" t="s">
        <v>101</v>
      </c>
      <c r="C366" s="96" t="s">
        <v>102</v>
      </c>
      <c r="D366" s="43">
        <v>27615</v>
      </c>
      <c r="E366" s="71">
        <v>0</v>
      </c>
      <c r="F366" s="74">
        <f t="shared" si="173"/>
        <v>27615</v>
      </c>
      <c r="G366" s="74"/>
      <c r="H366" s="74">
        <f>+G366+F366</f>
        <v>27615</v>
      </c>
      <c r="I366" s="71">
        <v>22969</v>
      </c>
      <c r="J366" s="73">
        <v>29220</v>
      </c>
      <c r="K366" s="74"/>
      <c r="L366" s="140">
        <f>+K366+J366</f>
        <v>29220</v>
      </c>
      <c r="M366" s="140"/>
      <c r="N366" s="140">
        <f t="shared" ref="N366" si="175">+M366+L366</f>
        <v>29220</v>
      </c>
      <c r="O366" s="140">
        <v>24433</v>
      </c>
      <c r="P366" s="67">
        <v>33316</v>
      </c>
      <c r="Q366" s="87">
        <f t="shared" si="157"/>
        <v>0.14017796030116358</v>
      </c>
      <c r="R366" s="88"/>
    </row>
    <row r="367" spans="1:21" ht="14.1" customHeight="1" x14ac:dyDescent="0.2">
      <c r="A367" s="89"/>
      <c r="B367" s="95" t="s">
        <v>103</v>
      </c>
      <c r="C367" s="96" t="s">
        <v>104</v>
      </c>
      <c r="D367" s="43">
        <v>19590</v>
      </c>
      <c r="E367" s="71">
        <f>+E368+E369+E379+E380+E381+E383+E384+E385</f>
        <v>100</v>
      </c>
      <c r="F367" s="74">
        <f t="shared" si="173"/>
        <v>19690</v>
      </c>
      <c r="G367" s="74"/>
      <c r="H367" s="74">
        <f t="shared" ref="H367:H385" si="176">+G367+F367</f>
        <v>19690</v>
      </c>
      <c r="I367" s="71">
        <f>+I368+I369+I379+I380+I381+I383+I384+I385</f>
        <v>13668.849999999999</v>
      </c>
      <c r="J367" s="73">
        <f>+J368+J369+J379+J380+J381+J383+J384+J385</f>
        <v>20390</v>
      </c>
      <c r="K367" s="74"/>
      <c r="L367" s="141">
        <f>+L368+L369+L379+L380+L381+L383+L384+L385</f>
        <v>20390</v>
      </c>
      <c r="M367" s="141">
        <f>+M368+M369+M379+M380+M381+M383+M384+M385</f>
        <v>0</v>
      </c>
      <c r="N367" s="141">
        <f>+N368+N369+N379+N380+N381+N383+N384+N385</f>
        <v>20390</v>
      </c>
      <c r="O367" s="141">
        <f>+O368+O369+O379+O380+O381+O383+O384+O385+O382+O378</f>
        <v>14990</v>
      </c>
      <c r="P367" s="141">
        <f>+P368+P369+P379+P380+P381+P383+P384+P385+P382+P378</f>
        <v>35765</v>
      </c>
      <c r="Q367" s="87">
        <f t="shared" si="157"/>
        <v>0.75404610102991665</v>
      </c>
      <c r="R367" s="88"/>
    </row>
    <row r="368" spans="1:21" ht="14.1" customHeight="1" x14ac:dyDescent="0.2">
      <c r="A368" s="89"/>
      <c r="B368" s="90" t="s">
        <v>105</v>
      </c>
      <c r="C368" s="72" t="s">
        <v>180</v>
      </c>
      <c r="D368" s="102">
        <v>150</v>
      </c>
      <c r="E368" s="71"/>
      <c r="F368" s="74">
        <f t="shared" si="173"/>
        <v>150</v>
      </c>
      <c r="G368" s="74"/>
      <c r="H368" s="74">
        <f t="shared" si="176"/>
        <v>150</v>
      </c>
      <c r="I368" s="71">
        <v>105</v>
      </c>
      <c r="J368" s="73">
        <v>150</v>
      </c>
      <c r="K368" s="74"/>
      <c r="L368" s="74">
        <v>150</v>
      </c>
      <c r="M368" s="74"/>
      <c r="N368" s="74">
        <f t="shared" ref="N368" si="177">+M368+L368</f>
        <v>150</v>
      </c>
      <c r="O368" s="74">
        <v>50</v>
      </c>
      <c r="P368" s="67">
        <v>150</v>
      </c>
      <c r="Q368" s="87">
        <f t="shared" si="157"/>
        <v>0</v>
      </c>
      <c r="R368" s="88"/>
    </row>
    <row r="369" spans="1:24" ht="14.1" customHeight="1" x14ac:dyDescent="0.2">
      <c r="A369" s="89"/>
      <c r="B369" s="90" t="s">
        <v>119</v>
      </c>
      <c r="C369" s="72" t="s">
        <v>110</v>
      </c>
      <c r="D369" s="102">
        <v>14190</v>
      </c>
      <c r="E369" s="71"/>
      <c r="F369" s="74">
        <f t="shared" si="173"/>
        <v>14190</v>
      </c>
      <c r="G369" s="74"/>
      <c r="H369" s="74">
        <f t="shared" si="176"/>
        <v>14190</v>
      </c>
      <c r="I369" s="71">
        <f>SUM(I370:I377)</f>
        <v>9121.8499999999985</v>
      </c>
      <c r="J369" s="73">
        <f>SUM(J370:J377)</f>
        <v>14990</v>
      </c>
      <c r="K369" s="74"/>
      <c r="L369" s="74">
        <f>SUM(L370:L377)</f>
        <v>14990</v>
      </c>
      <c r="M369" s="74">
        <f t="shared" ref="M369" si="178">SUM(M370:M377)</f>
        <v>0</v>
      </c>
      <c r="N369" s="74">
        <f>SUM(N370:N377)</f>
        <v>14990</v>
      </c>
      <c r="O369" s="74">
        <f>SUM(O370:O377)</f>
        <v>9406</v>
      </c>
      <c r="P369" s="67">
        <f>SUM(P370:P377)</f>
        <v>30515</v>
      </c>
      <c r="Q369" s="87">
        <f t="shared" si="157"/>
        <v>1.0356904603068713</v>
      </c>
      <c r="R369" s="88"/>
    </row>
    <row r="370" spans="1:24" s="49" customFormat="1" ht="14.1" customHeight="1" x14ac:dyDescent="0.2">
      <c r="A370" s="184"/>
      <c r="B370" s="185"/>
      <c r="C370" s="154" t="s">
        <v>120</v>
      </c>
      <c r="D370" s="157">
        <v>6200</v>
      </c>
      <c r="E370" s="158"/>
      <c r="F370" s="74">
        <f t="shared" si="173"/>
        <v>6200</v>
      </c>
      <c r="G370" s="74"/>
      <c r="H370" s="153">
        <f t="shared" si="176"/>
        <v>6200</v>
      </c>
      <c r="I370" s="154">
        <v>5629.04</v>
      </c>
      <c r="J370" s="159">
        <v>6200</v>
      </c>
      <c r="K370" s="153"/>
      <c r="L370" s="153">
        <v>6200</v>
      </c>
      <c r="M370" s="153"/>
      <c r="N370" s="153">
        <f>+L370+M370</f>
        <v>6200</v>
      </c>
      <c r="O370" s="153">
        <v>3850</v>
      </c>
      <c r="P370" s="155">
        <v>20000</v>
      </c>
      <c r="Q370" s="87">
        <f t="shared" si="157"/>
        <v>2.225806451612903</v>
      </c>
      <c r="R370" s="88" t="s">
        <v>814</v>
      </c>
      <c r="S370" s="56"/>
      <c r="T370" s="56"/>
      <c r="U370" s="56"/>
      <c r="V370" s="56"/>
      <c r="W370" s="56"/>
      <c r="X370" s="56"/>
    </row>
    <row r="371" spans="1:24" s="49" customFormat="1" ht="14.1" customHeight="1" x14ac:dyDescent="0.2">
      <c r="A371" s="184"/>
      <c r="B371" s="185"/>
      <c r="C371" s="154" t="s">
        <v>121</v>
      </c>
      <c r="D371" s="157">
        <v>2700</v>
      </c>
      <c r="E371" s="158"/>
      <c r="F371" s="74">
        <f t="shared" si="173"/>
        <v>2700</v>
      </c>
      <c r="G371" s="74"/>
      <c r="H371" s="153">
        <f t="shared" si="176"/>
        <v>2700</v>
      </c>
      <c r="I371" s="154">
        <v>1693.36</v>
      </c>
      <c r="J371" s="159">
        <v>3500</v>
      </c>
      <c r="K371" s="153"/>
      <c r="L371" s="153">
        <v>3500</v>
      </c>
      <c r="M371" s="153"/>
      <c r="N371" s="153">
        <f t="shared" ref="N371:N377" si="179">+L371+M371</f>
        <v>3500</v>
      </c>
      <c r="O371" s="153">
        <v>2599</v>
      </c>
      <c r="P371" s="155">
        <v>5000</v>
      </c>
      <c r="Q371" s="87">
        <f t="shared" si="157"/>
        <v>0.42857142857142855</v>
      </c>
      <c r="R371" s="88"/>
      <c r="S371" s="56"/>
      <c r="T371" s="56"/>
      <c r="U371" s="56"/>
      <c r="V371" s="56"/>
      <c r="W371" s="56"/>
      <c r="X371" s="56"/>
    </row>
    <row r="372" spans="1:24" s="49" customFormat="1" ht="14.1" customHeight="1" x14ac:dyDescent="0.2">
      <c r="A372" s="184"/>
      <c r="B372" s="185"/>
      <c r="C372" s="154" t="s">
        <v>122</v>
      </c>
      <c r="D372" s="157">
        <v>500</v>
      </c>
      <c r="E372" s="158"/>
      <c r="F372" s="74">
        <f t="shared" si="173"/>
        <v>500</v>
      </c>
      <c r="G372" s="74"/>
      <c r="H372" s="153">
        <f t="shared" si="176"/>
        <v>500</v>
      </c>
      <c r="I372" s="154">
        <v>272.70999999999998</v>
      </c>
      <c r="J372" s="159">
        <v>500</v>
      </c>
      <c r="K372" s="153"/>
      <c r="L372" s="153">
        <v>500</v>
      </c>
      <c r="M372" s="153"/>
      <c r="N372" s="153">
        <f t="shared" si="179"/>
        <v>500</v>
      </c>
      <c r="O372" s="153">
        <v>420</v>
      </c>
      <c r="P372" s="155">
        <v>600</v>
      </c>
      <c r="Q372" s="87">
        <f t="shared" si="157"/>
        <v>0.2</v>
      </c>
      <c r="R372" s="88"/>
      <c r="S372" s="56"/>
      <c r="T372" s="56"/>
      <c r="U372" s="56"/>
      <c r="V372" s="56"/>
      <c r="W372" s="56"/>
      <c r="X372" s="56"/>
    </row>
    <row r="373" spans="1:24" s="49" customFormat="1" ht="14.1" customHeight="1" x14ac:dyDescent="0.2">
      <c r="A373" s="184"/>
      <c r="B373" s="185"/>
      <c r="C373" s="154" t="s">
        <v>123</v>
      </c>
      <c r="D373" s="157">
        <v>2000</v>
      </c>
      <c r="E373" s="158"/>
      <c r="F373" s="74">
        <f t="shared" si="173"/>
        <v>2000</v>
      </c>
      <c r="G373" s="74"/>
      <c r="H373" s="153">
        <f t="shared" si="176"/>
        <v>2000</v>
      </c>
      <c r="I373" s="154">
        <v>459.75</v>
      </c>
      <c r="J373" s="159">
        <v>2000</v>
      </c>
      <c r="K373" s="153"/>
      <c r="L373" s="153">
        <v>2000</v>
      </c>
      <c r="M373" s="153"/>
      <c r="N373" s="153">
        <f t="shared" si="179"/>
        <v>2000</v>
      </c>
      <c r="O373" s="153">
        <v>907</v>
      </c>
      <c r="P373" s="155">
        <v>1500</v>
      </c>
      <c r="Q373" s="87">
        <f t="shared" si="157"/>
        <v>-0.25</v>
      </c>
      <c r="R373" s="88"/>
      <c r="S373" s="56"/>
      <c r="T373" s="56"/>
      <c r="U373" s="56"/>
      <c r="V373" s="56"/>
      <c r="W373" s="56"/>
      <c r="X373" s="56"/>
    </row>
    <row r="374" spans="1:24" s="49" customFormat="1" ht="14.1" customHeight="1" x14ac:dyDescent="0.2">
      <c r="A374" s="184"/>
      <c r="B374" s="185"/>
      <c r="C374" s="154" t="s">
        <v>124</v>
      </c>
      <c r="D374" s="157">
        <v>200</v>
      </c>
      <c r="E374" s="158"/>
      <c r="F374" s="74">
        <f t="shared" si="173"/>
        <v>200</v>
      </c>
      <c r="G374" s="74"/>
      <c r="H374" s="153">
        <f t="shared" si="176"/>
        <v>200</v>
      </c>
      <c r="I374" s="154">
        <v>405.59</v>
      </c>
      <c r="J374" s="159">
        <v>200</v>
      </c>
      <c r="K374" s="153"/>
      <c r="L374" s="153">
        <v>200</v>
      </c>
      <c r="M374" s="153"/>
      <c r="N374" s="153">
        <f t="shared" si="179"/>
        <v>200</v>
      </c>
      <c r="O374" s="153">
        <v>258</v>
      </c>
      <c r="P374" s="155">
        <v>350</v>
      </c>
      <c r="Q374" s="87">
        <f t="shared" si="157"/>
        <v>0.75</v>
      </c>
      <c r="R374" s="88"/>
      <c r="S374" s="56"/>
      <c r="T374" s="56"/>
      <c r="U374" s="56"/>
      <c r="V374" s="56"/>
      <c r="W374" s="56"/>
      <c r="X374" s="56"/>
    </row>
    <row r="375" spans="1:24" s="49" customFormat="1" ht="14.1" customHeight="1" x14ac:dyDescent="0.2">
      <c r="A375" s="184"/>
      <c r="B375" s="185"/>
      <c r="C375" s="154" t="s">
        <v>125</v>
      </c>
      <c r="D375" s="157">
        <v>450</v>
      </c>
      <c r="E375" s="158"/>
      <c r="F375" s="74">
        <f t="shared" si="173"/>
        <v>450</v>
      </c>
      <c r="G375" s="74"/>
      <c r="H375" s="153">
        <f t="shared" si="176"/>
        <v>450</v>
      </c>
      <c r="I375" s="154">
        <v>454</v>
      </c>
      <c r="J375" s="159">
        <v>450</v>
      </c>
      <c r="K375" s="153"/>
      <c r="L375" s="153">
        <v>450</v>
      </c>
      <c r="M375" s="153"/>
      <c r="N375" s="153">
        <f t="shared" si="179"/>
        <v>450</v>
      </c>
      <c r="O375" s="153">
        <v>615</v>
      </c>
      <c r="P375" s="155">
        <v>650</v>
      </c>
      <c r="Q375" s="87">
        <f t="shared" si="157"/>
        <v>0.44444444444444442</v>
      </c>
      <c r="R375" s="88"/>
      <c r="S375" s="56"/>
      <c r="T375" s="56"/>
      <c r="U375" s="56"/>
      <c r="V375" s="56"/>
      <c r="W375" s="56"/>
      <c r="X375" s="56"/>
    </row>
    <row r="376" spans="1:24" s="49" customFormat="1" ht="14.1" customHeight="1" x14ac:dyDescent="0.2">
      <c r="A376" s="184"/>
      <c r="B376" s="185"/>
      <c r="C376" s="154" t="s">
        <v>198</v>
      </c>
      <c r="D376" s="157">
        <v>2000</v>
      </c>
      <c r="E376" s="158"/>
      <c r="F376" s="74">
        <f t="shared" si="173"/>
        <v>2000</v>
      </c>
      <c r="G376" s="74"/>
      <c r="H376" s="153">
        <f t="shared" si="176"/>
        <v>2000</v>
      </c>
      <c r="I376" s="154">
        <v>156</v>
      </c>
      <c r="J376" s="159">
        <v>2000</v>
      </c>
      <c r="K376" s="153"/>
      <c r="L376" s="153">
        <v>2000</v>
      </c>
      <c r="M376" s="153"/>
      <c r="N376" s="153">
        <f t="shared" si="179"/>
        <v>2000</v>
      </c>
      <c r="O376" s="153">
        <v>342</v>
      </c>
      <c r="P376" s="155">
        <v>2000</v>
      </c>
      <c r="Q376" s="87">
        <f t="shared" si="157"/>
        <v>0</v>
      </c>
      <c r="R376" s="88"/>
      <c r="S376" s="56"/>
      <c r="T376" s="56"/>
      <c r="U376" s="56"/>
      <c r="V376" s="56"/>
      <c r="W376" s="56"/>
      <c r="X376" s="56"/>
    </row>
    <row r="377" spans="1:24" s="49" customFormat="1" ht="14.1" customHeight="1" x14ac:dyDescent="0.2">
      <c r="A377" s="184"/>
      <c r="B377" s="185"/>
      <c r="C377" s="154" t="s">
        <v>127</v>
      </c>
      <c r="D377" s="102">
        <v>140</v>
      </c>
      <c r="E377" s="158"/>
      <c r="F377" s="74">
        <f t="shared" si="173"/>
        <v>140</v>
      </c>
      <c r="G377" s="74"/>
      <c r="H377" s="153">
        <f t="shared" si="176"/>
        <v>140</v>
      </c>
      <c r="I377" s="154">
        <v>51.4</v>
      </c>
      <c r="J377" s="159">
        <v>140</v>
      </c>
      <c r="K377" s="153"/>
      <c r="L377" s="153">
        <v>140</v>
      </c>
      <c r="M377" s="153"/>
      <c r="N377" s="153">
        <f t="shared" si="179"/>
        <v>140</v>
      </c>
      <c r="O377" s="153">
        <v>415</v>
      </c>
      <c r="P377" s="155">
        <v>415</v>
      </c>
      <c r="Q377" s="87">
        <f t="shared" si="157"/>
        <v>1.9642857142857142</v>
      </c>
      <c r="R377" s="88"/>
      <c r="S377" s="56"/>
      <c r="T377" s="56"/>
      <c r="U377" s="56"/>
      <c r="V377" s="56"/>
      <c r="W377" s="56"/>
      <c r="X377" s="56"/>
    </row>
    <row r="378" spans="1:24" s="49" customFormat="1" ht="14.1" customHeight="1" x14ac:dyDescent="0.2">
      <c r="A378" s="184"/>
      <c r="B378" s="90">
        <v>5512</v>
      </c>
      <c r="C378" s="72" t="s">
        <v>189</v>
      </c>
      <c r="D378" s="102"/>
      <c r="E378" s="158"/>
      <c r="F378" s="74"/>
      <c r="G378" s="74"/>
      <c r="H378" s="153"/>
      <c r="I378" s="154"/>
      <c r="J378" s="159"/>
      <c r="K378" s="153"/>
      <c r="L378" s="153"/>
      <c r="M378" s="153"/>
      <c r="N378" s="74">
        <v>0</v>
      </c>
      <c r="O378" s="74">
        <v>189</v>
      </c>
      <c r="P378" s="67">
        <v>200</v>
      </c>
      <c r="Q378" s="87"/>
      <c r="R378" s="111"/>
      <c r="S378" s="56" t="s">
        <v>1250</v>
      </c>
      <c r="T378" s="56"/>
      <c r="U378" s="56"/>
      <c r="V378" s="56"/>
      <c r="W378" s="56"/>
      <c r="X378" s="56"/>
    </row>
    <row r="379" spans="1:24" ht="14.1" customHeight="1" x14ac:dyDescent="0.2">
      <c r="A379" s="89"/>
      <c r="B379" s="90" t="s">
        <v>129</v>
      </c>
      <c r="C379" s="72" t="s">
        <v>130</v>
      </c>
      <c r="D379" s="102">
        <v>2000</v>
      </c>
      <c r="E379" s="71"/>
      <c r="F379" s="74">
        <f t="shared" si="173"/>
        <v>2000</v>
      </c>
      <c r="G379" s="74"/>
      <c r="H379" s="74">
        <f t="shared" si="176"/>
        <v>2000</v>
      </c>
      <c r="I379" s="71">
        <v>0</v>
      </c>
      <c r="J379" s="73">
        <v>1700</v>
      </c>
      <c r="K379" s="74"/>
      <c r="L379" s="74">
        <v>1700</v>
      </c>
      <c r="M379" s="74"/>
      <c r="N379" s="74">
        <f t="shared" ref="N379:N385" si="180">+M379+L379</f>
        <v>1700</v>
      </c>
      <c r="O379" s="74"/>
      <c r="P379" s="67">
        <v>0</v>
      </c>
      <c r="Q379" s="87">
        <f t="shared" si="157"/>
        <v>-1</v>
      </c>
      <c r="R379" s="88"/>
    </row>
    <row r="380" spans="1:24" ht="14.1" customHeight="1" x14ac:dyDescent="0.2">
      <c r="A380" s="89"/>
      <c r="B380" s="90" t="s">
        <v>131</v>
      </c>
      <c r="C380" s="72" t="s">
        <v>112</v>
      </c>
      <c r="D380" s="102">
        <v>200</v>
      </c>
      <c r="E380" s="71"/>
      <c r="F380" s="74">
        <f t="shared" si="173"/>
        <v>200</v>
      </c>
      <c r="G380" s="74"/>
      <c r="H380" s="74">
        <f t="shared" si="176"/>
        <v>200</v>
      </c>
      <c r="I380" s="71">
        <v>346</v>
      </c>
      <c r="J380" s="73">
        <v>500</v>
      </c>
      <c r="K380" s="74"/>
      <c r="L380" s="74">
        <v>500</v>
      </c>
      <c r="M380" s="74"/>
      <c r="N380" s="74">
        <f t="shared" si="180"/>
        <v>500</v>
      </c>
      <c r="O380" s="74">
        <v>261</v>
      </c>
      <c r="P380" s="67">
        <v>500</v>
      </c>
      <c r="Q380" s="87">
        <f t="shared" si="157"/>
        <v>0</v>
      </c>
      <c r="R380" s="88"/>
    </row>
    <row r="381" spans="1:24" ht="14.1" customHeight="1" x14ac:dyDescent="0.2">
      <c r="A381" s="89"/>
      <c r="B381" s="90" t="s">
        <v>132</v>
      </c>
      <c r="C381" s="72" t="s">
        <v>133</v>
      </c>
      <c r="D381" s="102">
        <v>2500</v>
      </c>
      <c r="E381" s="71"/>
      <c r="F381" s="74">
        <f t="shared" si="173"/>
        <v>2500</v>
      </c>
      <c r="G381" s="74"/>
      <c r="H381" s="74">
        <f t="shared" si="176"/>
        <v>2500</v>
      </c>
      <c r="I381" s="71">
        <v>3784</v>
      </c>
      <c r="J381" s="73">
        <v>2500</v>
      </c>
      <c r="K381" s="74"/>
      <c r="L381" s="74">
        <v>2500</v>
      </c>
      <c r="M381" s="74"/>
      <c r="N381" s="74">
        <f t="shared" si="180"/>
        <v>2500</v>
      </c>
      <c r="O381" s="74">
        <v>3716</v>
      </c>
      <c r="P381" s="67">
        <v>3000</v>
      </c>
      <c r="Q381" s="87">
        <f t="shared" si="157"/>
        <v>0.2</v>
      </c>
      <c r="R381" s="88"/>
    </row>
    <row r="382" spans="1:24" ht="14.1" customHeight="1" x14ac:dyDescent="0.2">
      <c r="A382" s="89"/>
      <c r="B382" s="90">
        <v>5516</v>
      </c>
      <c r="C382" s="72" t="s">
        <v>1557</v>
      </c>
      <c r="D382" s="102"/>
      <c r="E382" s="71"/>
      <c r="F382" s="74"/>
      <c r="G382" s="74"/>
      <c r="H382" s="74"/>
      <c r="I382" s="71"/>
      <c r="J382" s="73"/>
      <c r="K382" s="74"/>
      <c r="L382" s="74"/>
      <c r="M382" s="74"/>
      <c r="N382" s="74"/>
      <c r="O382" s="74">
        <v>36</v>
      </c>
      <c r="P382" s="67">
        <v>200</v>
      </c>
      <c r="Q382" s="87"/>
      <c r="R382" s="88"/>
    </row>
    <row r="383" spans="1:24" ht="14.1" customHeight="1" x14ac:dyDescent="0.2">
      <c r="A383" s="89"/>
      <c r="B383" s="90">
        <v>5522</v>
      </c>
      <c r="C383" s="72" t="s">
        <v>137</v>
      </c>
      <c r="D383" s="102">
        <v>50</v>
      </c>
      <c r="E383" s="71"/>
      <c r="F383" s="74">
        <f t="shared" si="173"/>
        <v>50</v>
      </c>
      <c r="G383" s="74"/>
      <c r="H383" s="74">
        <f t="shared" si="176"/>
        <v>50</v>
      </c>
      <c r="I383" s="71">
        <v>0</v>
      </c>
      <c r="J383" s="73">
        <v>50</v>
      </c>
      <c r="K383" s="74"/>
      <c r="L383" s="74">
        <v>50</v>
      </c>
      <c r="M383" s="74"/>
      <c r="N383" s="74">
        <f t="shared" si="180"/>
        <v>50</v>
      </c>
      <c r="O383" s="74">
        <v>75</v>
      </c>
      <c r="P383" s="67">
        <v>100</v>
      </c>
      <c r="Q383" s="87">
        <f t="shared" si="157"/>
        <v>1</v>
      </c>
      <c r="R383" s="88"/>
    </row>
    <row r="384" spans="1:24" ht="14.1" customHeight="1" x14ac:dyDescent="0.2">
      <c r="A384" s="89"/>
      <c r="B384" s="90" t="s">
        <v>138</v>
      </c>
      <c r="C384" s="72" t="s">
        <v>139</v>
      </c>
      <c r="D384" s="102">
        <v>0</v>
      </c>
      <c r="E384" s="71"/>
      <c r="F384" s="74">
        <f t="shared" si="173"/>
        <v>0</v>
      </c>
      <c r="G384" s="74"/>
      <c r="H384" s="74">
        <f t="shared" si="176"/>
        <v>0</v>
      </c>
      <c r="I384" s="71">
        <v>0</v>
      </c>
      <c r="J384" s="73"/>
      <c r="K384" s="74"/>
      <c r="L384" s="74">
        <v>0</v>
      </c>
      <c r="M384" s="74"/>
      <c r="N384" s="74">
        <f t="shared" si="180"/>
        <v>0</v>
      </c>
      <c r="O384" s="74">
        <v>50</v>
      </c>
      <c r="P384" s="67">
        <v>100</v>
      </c>
      <c r="Q384" s="87" t="e">
        <f t="shared" si="157"/>
        <v>#DIV/0!</v>
      </c>
      <c r="R384" s="88"/>
    </row>
    <row r="385" spans="1:25" ht="14.1" customHeight="1" x14ac:dyDescent="0.2">
      <c r="A385" s="89"/>
      <c r="B385" s="90" t="s">
        <v>164</v>
      </c>
      <c r="C385" s="72" t="s">
        <v>193</v>
      </c>
      <c r="D385" s="102">
        <v>500</v>
      </c>
      <c r="E385" s="71">
        <v>100</v>
      </c>
      <c r="F385" s="74">
        <f t="shared" si="173"/>
        <v>600</v>
      </c>
      <c r="G385" s="74"/>
      <c r="H385" s="74">
        <f t="shared" si="176"/>
        <v>600</v>
      </c>
      <c r="I385" s="71">
        <v>312</v>
      </c>
      <c r="J385" s="73">
        <v>500</v>
      </c>
      <c r="K385" s="74"/>
      <c r="L385" s="74">
        <v>500</v>
      </c>
      <c r="M385" s="74"/>
      <c r="N385" s="74">
        <f t="shared" si="180"/>
        <v>500</v>
      </c>
      <c r="O385" s="74">
        <v>1207</v>
      </c>
      <c r="P385" s="67">
        <v>1000</v>
      </c>
      <c r="Q385" s="87">
        <f t="shared" si="157"/>
        <v>1</v>
      </c>
      <c r="R385" s="88"/>
    </row>
    <row r="386" spans="1:25" ht="14.1" customHeight="1" x14ac:dyDescent="0.2">
      <c r="A386" s="164" t="s">
        <v>218</v>
      </c>
      <c r="B386" s="147"/>
      <c r="C386" s="148" t="s">
        <v>219</v>
      </c>
      <c r="D386" s="149">
        <v>48000</v>
      </c>
      <c r="E386" s="151"/>
      <c r="F386" s="137">
        <f t="shared" si="173"/>
        <v>48000</v>
      </c>
      <c r="G386" s="137">
        <f>+G387</f>
        <v>-8300</v>
      </c>
      <c r="H386" s="137">
        <f>+H387+H388</f>
        <v>39700</v>
      </c>
      <c r="I386" s="151">
        <f>+I387+I388</f>
        <v>29698</v>
      </c>
      <c r="J386" s="152">
        <f>+J387+J388</f>
        <v>48000</v>
      </c>
      <c r="K386" s="152">
        <f>+K387+K388</f>
        <v>-8000</v>
      </c>
      <c r="L386" s="152">
        <f>+L387+L388</f>
        <v>40000</v>
      </c>
      <c r="M386" s="152">
        <f t="shared" ref="M386:N386" si="181">+M387+M388</f>
        <v>8300</v>
      </c>
      <c r="N386" s="152">
        <f t="shared" si="181"/>
        <v>48300</v>
      </c>
      <c r="O386" s="152">
        <f t="shared" ref="O386:P386" si="182">+O387+O388</f>
        <v>48071</v>
      </c>
      <c r="P386" s="152">
        <f t="shared" si="182"/>
        <v>58000</v>
      </c>
      <c r="Q386" s="87">
        <f t="shared" si="157"/>
        <v>0.20082815734989648</v>
      </c>
      <c r="R386" s="88"/>
      <c r="Y386" s="49"/>
    </row>
    <row r="387" spans="1:25" ht="14.1" customHeight="1" x14ac:dyDescent="0.2">
      <c r="A387" s="194"/>
      <c r="B387" s="90">
        <v>45</v>
      </c>
      <c r="C387" s="72" t="s">
        <v>220</v>
      </c>
      <c r="D387" s="43">
        <v>28000</v>
      </c>
      <c r="E387" s="71"/>
      <c r="F387" s="74">
        <f t="shared" si="173"/>
        <v>28000</v>
      </c>
      <c r="G387" s="74">
        <v>-8300</v>
      </c>
      <c r="H387" s="74">
        <f>+G387+F387</f>
        <v>19700</v>
      </c>
      <c r="I387" s="71">
        <v>24400</v>
      </c>
      <c r="J387" s="73">
        <v>28000</v>
      </c>
      <c r="K387" s="74"/>
      <c r="L387" s="142">
        <v>28000</v>
      </c>
      <c r="M387" s="92">
        <v>5300</v>
      </c>
      <c r="N387" s="142">
        <f>+L387+M387</f>
        <v>33300</v>
      </c>
      <c r="O387" s="142">
        <v>29321</v>
      </c>
      <c r="P387" s="142">
        <v>40000</v>
      </c>
      <c r="Q387" s="87">
        <f t="shared" si="157"/>
        <v>0.20120120120120119</v>
      </c>
      <c r="R387" s="88" t="s">
        <v>1434</v>
      </c>
      <c r="T387" s="49"/>
      <c r="V387" s="49"/>
      <c r="Y387" s="49"/>
    </row>
    <row r="388" spans="1:25" ht="14.1" customHeight="1" x14ac:dyDescent="0.2">
      <c r="A388" s="194"/>
      <c r="B388" s="90">
        <v>55</v>
      </c>
      <c r="C388" s="72" t="s">
        <v>104</v>
      </c>
      <c r="D388" s="43">
        <v>20000</v>
      </c>
      <c r="E388" s="71"/>
      <c r="F388" s="74">
        <f t="shared" si="173"/>
        <v>20000</v>
      </c>
      <c r="G388" s="74"/>
      <c r="H388" s="74">
        <f t="shared" ref="H388:H396" si="183">+G388+F388</f>
        <v>20000</v>
      </c>
      <c r="I388" s="71">
        <f>SUM(I389:I396)</f>
        <v>5298</v>
      </c>
      <c r="J388" s="73">
        <v>20000</v>
      </c>
      <c r="K388" s="74">
        <f>SUM(K389:K396)</f>
        <v>-8000</v>
      </c>
      <c r="L388" s="141">
        <f>+L389+L390+L391+L392+L393+L395+L396</f>
        <v>12000</v>
      </c>
      <c r="M388" s="141">
        <f t="shared" ref="M388:N388" si="184">+M389+M390+M391+M392+M393+M395+M396</f>
        <v>3000</v>
      </c>
      <c r="N388" s="141">
        <f t="shared" si="184"/>
        <v>15000</v>
      </c>
      <c r="O388" s="141">
        <f>+O389+O390+O391+O392+O393+O395+O396+O394</f>
        <v>18750</v>
      </c>
      <c r="P388" s="141">
        <f>+P389+P390+P391+P392+P393+P395+P396+P394</f>
        <v>18000</v>
      </c>
      <c r="Q388" s="87">
        <f t="shared" si="157"/>
        <v>0.2</v>
      </c>
      <c r="R388" s="56" t="s">
        <v>816</v>
      </c>
      <c r="Y388" s="49"/>
    </row>
    <row r="389" spans="1:25" ht="14.1" customHeight="1" x14ac:dyDescent="0.2">
      <c r="A389" s="194"/>
      <c r="B389" s="90">
        <v>5500</v>
      </c>
      <c r="C389" s="72" t="s">
        <v>115</v>
      </c>
      <c r="D389" s="102">
        <v>0</v>
      </c>
      <c r="E389" s="71"/>
      <c r="F389" s="74">
        <f t="shared" si="173"/>
        <v>0</v>
      </c>
      <c r="G389" s="74"/>
      <c r="H389" s="74">
        <f t="shared" si="183"/>
        <v>0</v>
      </c>
      <c r="I389" s="71"/>
      <c r="J389" s="73"/>
      <c r="K389" s="74"/>
      <c r="L389" s="74">
        <f t="shared" ref="L389:L396" si="185">+K389+J389</f>
        <v>0</v>
      </c>
      <c r="M389" s="74"/>
      <c r="N389" s="74">
        <f t="shared" ref="N389:N396" si="186">+M389+L389</f>
        <v>0</v>
      </c>
      <c r="O389" s="74"/>
      <c r="P389" s="67">
        <f>+N389+M389</f>
        <v>0</v>
      </c>
      <c r="Q389" s="87"/>
      <c r="R389" s="88"/>
      <c r="Y389" s="49"/>
    </row>
    <row r="390" spans="1:25" ht="14.1" customHeight="1" x14ac:dyDescent="0.2">
      <c r="A390" s="194"/>
      <c r="B390" s="90">
        <v>5504</v>
      </c>
      <c r="C390" s="72" t="s">
        <v>221</v>
      </c>
      <c r="D390" s="102">
        <v>0</v>
      </c>
      <c r="E390" s="71"/>
      <c r="F390" s="74">
        <f t="shared" si="173"/>
        <v>0</v>
      </c>
      <c r="G390" s="74"/>
      <c r="H390" s="74">
        <f t="shared" si="183"/>
        <v>0</v>
      </c>
      <c r="I390" s="71"/>
      <c r="J390" s="73"/>
      <c r="K390" s="74"/>
      <c r="L390" s="74">
        <f t="shared" si="185"/>
        <v>0</v>
      </c>
      <c r="M390" s="74"/>
      <c r="N390" s="74">
        <f t="shared" si="186"/>
        <v>0</v>
      </c>
      <c r="O390" s="74"/>
      <c r="P390" s="67">
        <f>+N390+M390</f>
        <v>0</v>
      </c>
      <c r="Q390" s="87"/>
      <c r="R390" s="88"/>
      <c r="Y390" s="49"/>
    </row>
    <row r="391" spans="1:25" ht="14.1" customHeight="1" x14ac:dyDescent="0.2">
      <c r="A391" s="194"/>
      <c r="B391" s="90">
        <v>5511</v>
      </c>
      <c r="C391" s="72" t="s">
        <v>222</v>
      </c>
      <c r="D391" s="102">
        <v>0</v>
      </c>
      <c r="E391" s="71"/>
      <c r="F391" s="74">
        <f t="shared" si="173"/>
        <v>0</v>
      </c>
      <c r="G391" s="74"/>
      <c r="H391" s="74">
        <f t="shared" si="183"/>
        <v>0</v>
      </c>
      <c r="I391" s="71">
        <v>126</v>
      </c>
      <c r="J391" s="73"/>
      <c r="K391" s="74"/>
      <c r="L391" s="74">
        <f t="shared" si="185"/>
        <v>0</v>
      </c>
      <c r="M391" s="74"/>
      <c r="N391" s="74">
        <f t="shared" si="186"/>
        <v>0</v>
      </c>
      <c r="O391" s="74"/>
      <c r="P391" s="67">
        <f>+N391+M391</f>
        <v>0</v>
      </c>
      <c r="Q391" s="87"/>
      <c r="R391" s="88"/>
      <c r="Y391" s="49"/>
    </row>
    <row r="392" spans="1:25" ht="14.1" customHeight="1" x14ac:dyDescent="0.2">
      <c r="A392" s="194"/>
      <c r="B392" s="90">
        <v>5513</v>
      </c>
      <c r="C392" s="72" t="s">
        <v>130</v>
      </c>
      <c r="D392" s="102">
        <v>0</v>
      </c>
      <c r="E392" s="71"/>
      <c r="F392" s="74">
        <f t="shared" si="173"/>
        <v>0</v>
      </c>
      <c r="G392" s="74"/>
      <c r="H392" s="74">
        <f t="shared" si="183"/>
        <v>0</v>
      </c>
      <c r="I392" s="71">
        <v>0</v>
      </c>
      <c r="J392" s="73"/>
      <c r="K392" s="74"/>
      <c r="L392" s="74">
        <f t="shared" si="185"/>
        <v>0</v>
      </c>
      <c r="M392" s="74"/>
      <c r="N392" s="74">
        <f t="shared" si="186"/>
        <v>0</v>
      </c>
      <c r="O392" s="74"/>
      <c r="P392" s="67">
        <f>+N392+M392</f>
        <v>0</v>
      </c>
      <c r="Q392" s="87"/>
      <c r="R392" s="88"/>
    </row>
    <row r="393" spans="1:25" ht="14.1" customHeight="1" x14ac:dyDescent="0.2">
      <c r="A393" s="194"/>
      <c r="B393" s="90">
        <v>5515</v>
      </c>
      <c r="C393" s="72" t="s">
        <v>133</v>
      </c>
      <c r="D393" s="102">
        <v>0</v>
      </c>
      <c r="E393" s="71"/>
      <c r="F393" s="74">
        <f t="shared" si="173"/>
        <v>0</v>
      </c>
      <c r="G393" s="74"/>
      <c r="H393" s="74">
        <f t="shared" si="183"/>
        <v>0</v>
      </c>
      <c r="I393" s="71"/>
      <c r="J393" s="73"/>
      <c r="K393" s="74"/>
      <c r="L393" s="74">
        <f t="shared" si="185"/>
        <v>0</v>
      </c>
      <c r="M393" s="74"/>
      <c r="N393" s="74">
        <f t="shared" si="186"/>
        <v>0</v>
      </c>
      <c r="O393" s="74"/>
      <c r="P393" s="67">
        <f>+N393+M393</f>
        <v>0</v>
      </c>
      <c r="Q393" s="87"/>
      <c r="R393" s="88"/>
    </row>
    <row r="394" spans="1:25" ht="14.1" customHeight="1" x14ac:dyDescent="0.2">
      <c r="A394" s="194"/>
      <c r="B394" s="90">
        <v>5521</v>
      </c>
      <c r="C394" s="72" t="s">
        <v>261</v>
      </c>
      <c r="D394" s="102"/>
      <c r="E394" s="71"/>
      <c r="F394" s="74"/>
      <c r="G394" s="74"/>
      <c r="H394" s="74"/>
      <c r="I394" s="71"/>
      <c r="J394" s="73"/>
      <c r="K394" s="74"/>
      <c r="L394" s="74"/>
      <c r="M394" s="74"/>
      <c r="N394" s="74"/>
      <c r="O394" s="74">
        <v>1463</v>
      </c>
      <c r="P394" s="67"/>
      <c r="Q394" s="87"/>
      <c r="R394" s="88"/>
    </row>
    <row r="395" spans="1:25" ht="14.1" customHeight="1" x14ac:dyDescent="0.2">
      <c r="A395" s="194"/>
      <c r="B395" s="90">
        <v>5525</v>
      </c>
      <c r="C395" s="72" t="s">
        <v>139</v>
      </c>
      <c r="D395" s="102">
        <v>0</v>
      </c>
      <c r="E395" s="71"/>
      <c r="F395" s="74">
        <f t="shared" si="173"/>
        <v>0</v>
      </c>
      <c r="G395" s="74"/>
      <c r="H395" s="74">
        <f t="shared" si="183"/>
        <v>0</v>
      </c>
      <c r="I395" s="71">
        <v>360</v>
      </c>
      <c r="J395" s="73"/>
      <c r="K395" s="74"/>
      <c r="L395" s="74">
        <f t="shared" si="185"/>
        <v>0</v>
      </c>
      <c r="M395" s="74"/>
      <c r="N395" s="74">
        <f t="shared" si="186"/>
        <v>0</v>
      </c>
      <c r="O395" s="74">
        <v>588</v>
      </c>
      <c r="P395" s="67">
        <f>2500+1500</f>
        <v>4000</v>
      </c>
      <c r="Q395" s="87">
        <v>1</v>
      </c>
      <c r="R395" s="88"/>
    </row>
    <row r="396" spans="1:25" ht="14.1" customHeight="1" x14ac:dyDescent="0.2">
      <c r="A396" s="194"/>
      <c r="B396" s="90">
        <v>5540</v>
      </c>
      <c r="C396" s="72" t="s">
        <v>193</v>
      </c>
      <c r="D396" s="102"/>
      <c r="E396" s="71"/>
      <c r="F396" s="74">
        <f t="shared" si="173"/>
        <v>0</v>
      </c>
      <c r="G396" s="74"/>
      <c r="H396" s="74">
        <f t="shared" si="183"/>
        <v>0</v>
      </c>
      <c r="I396" s="71">
        <v>4812</v>
      </c>
      <c r="J396" s="73">
        <v>20000</v>
      </c>
      <c r="K396" s="74">
        <v>-8000</v>
      </c>
      <c r="L396" s="74">
        <f t="shared" si="185"/>
        <v>12000</v>
      </c>
      <c r="M396" s="92">
        <v>3000</v>
      </c>
      <c r="N396" s="74">
        <f t="shared" si="186"/>
        <v>15000</v>
      </c>
      <c r="O396" s="74">
        <v>16699</v>
      </c>
      <c r="P396" s="67">
        <v>14000</v>
      </c>
      <c r="Q396" s="87">
        <f t="shared" si="157"/>
        <v>-6.6666666666666666E-2</v>
      </c>
      <c r="R396" s="88"/>
    </row>
    <row r="397" spans="1:25" ht="14.1" customHeight="1" x14ac:dyDescent="0.2">
      <c r="A397" s="164" t="s">
        <v>672</v>
      </c>
      <c r="B397" s="147"/>
      <c r="C397" s="148" t="s">
        <v>1428</v>
      </c>
      <c r="D397" s="149">
        <v>82010</v>
      </c>
      <c r="E397" s="150"/>
      <c r="F397" s="137">
        <f t="shared" si="173"/>
        <v>82010</v>
      </c>
      <c r="G397" s="137">
        <v>0</v>
      </c>
      <c r="H397" s="137">
        <f>+H398+H399</f>
        <v>82010</v>
      </c>
      <c r="I397" s="150">
        <f>+I398+I399</f>
        <v>74003.92</v>
      </c>
      <c r="J397" s="152">
        <f>+J398+J399</f>
        <v>99745</v>
      </c>
      <c r="K397" s="152">
        <f>+K398+K399</f>
        <v>0</v>
      </c>
      <c r="L397" s="152">
        <f>+L398+L399</f>
        <v>99745</v>
      </c>
      <c r="M397" s="152">
        <f t="shared" ref="M397:N397" si="187">+M398+M399</f>
        <v>0</v>
      </c>
      <c r="N397" s="152">
        <f t="shared" si="187"/>
        <v>99745</v>
      </c>
      <c r="O397" s="152">
        <f t="shared" ref="O397:P397" si="188">+O398+O399</f>
        <v>71981</v>
      </c>
      <c r="P397" s="152">
        <f t="shared" si="188"/>
        <v>128019</v>
      </c>
      <c r="Q397" s="87">
        <f t="shared" si="157"/>
        <v>0.28346283021705349</v>
      </c>
      <c r="R397" s="88"/>
    </row>
    <row r="398" spans="1:25" ht="14.1" customHeight="1" x14ac:dyDescent="0.2">
      <c r="A398" s="94"/>
      <c r="B398" s="95" t="s">
        <v>101</v>
      </c>
      <c r="C398" s="96" t="s">
        <v>102</v>
      </c>
      <c r="D398" s="43">
        <v>19910</v>
      </c>
      <c r="E398" s="71"/>
      <c r="F398" s="74">
        <f t="shared" si="173"/>
        <v>19910</v>
      </c>
      <c r="G398" s="74"/>
      <c r="H398" s="74">
        <f>+G398+F398</f>
        <v>19910</v>
      </c>
      <c r="I398" s="71">
        <v>16893</v>
      </c>
      <c r="J398" s="73">
        <v>24800</v>
      </c>
      <c r="K398" s="74"/>
      <c r="L398" s="140">
        <f>+K398+J398</f>
        <v>24800</v>
      </c>
      <c r="M398" s="140"/>
      <c r="N398" s="140">
        <f t="shared" ref="N398" si="189">+M398+L398</f>
        <v>24800</v>
      </c>
      <c r="O398" s="140">
        <v>19763</v>
      </c>
      <c r="P398" s="67">
        <v>27804</v>
      </c>
      <c r="Q398" s="87">
        <f t="shared" ref="Q398:Q472" si="190">(P398-N398)/N398</f>
        <v>0.12112903225806451</v>
      </c>
      <c r="R398" s="88" t="s">
        <v>818</v>
      </c>
    </row>
    <row r="399" spans="1:25" ht="14.1" customHeight="1" x14ac:dyDescent="0.2">
      <c r="A399" s="89"/>
      <c r="B399" s="95" t="s">
        <v>103</v>
      </c>
      <c r="C399" s="96" t="s">
        <v>104</v>
      </c>
      <c r="D399" s="43">
        <v>62100</v>
      </c>
      <c r="E399" s="71"/>
      <c r="F399" s="74">
        <f t="shared" si="173"/>
        <v>62100</v>
      </c>
      <c r="G399" s="74"/>
      <c r="H399" s="74">
        <f t="shared" ref="H399:H422" si="191">+G399+F399</f>
        <v>62100</v>
      </c>
      <c r="I399" s="71">
        <f>+I400+I401+I402+I403+I415+I416+I417+I418+I420+I421+I422</f>
        <v>57110.92</v>
      </c>
      <c r="J399" s="73">
        <f>+J400+J401+J402+J403+J415+J416+J417+J418+J420+J421+J422</f>
        <v>74945</v>
      </c>
      <c r="K399" s="74"/>
      <c r="L399" s="141">
        <f>+L400+L401+L402+L403+L415+L416+L417+L418+L420+L421+L422</f>
        <v>74945</v>
      </c>
      <c r="M399" s="141">
        <f t="shared" ref="M399:N399" si="192">+M400+M401+M402+M403+M415+M416+M417+M418+M420+M421+M422</f>
        <v>0</v>
      </c>
      <c r="N399" s="141">
        <f t="shared" si="192"/>
        <v>74945</v>
      </c>
      <c r="O399" s="141">
        <f t="shared" ref="O399" si="193">+O400+O401+O402+O403+O415+O416+O417+O418+O420+O421+O422</f>
        <v>52218</v>
      </c>
      <c r="P399" s="141">
        <f>+P400+P401+P402+P403+P415+P416+P417+P418+P420+P421+P422+P419+P414</f>
        <v>100215</v>
      </c>
      <c r="Q399" s="87">
        <f t="shared" si="190"/>
        <v>0.33718059910601106</v>
      </c>
      <c r="R399" s="88"/>
    </row>
    <row r="400" spans="1:25" ht="14.1" customHeight="1" x14ac:dyDescent="0.2">
      <c r="A400" s="89"/>
      <c r="B400" s="90" t="s">
        <v>105</v>
      </c>
      <c r="C400" s="72" t="s">
        <v>115</v>
      </c>
      <c r="D400" s="102">
        <v>200</v>
      </c>
      <c r="E400" s="71"/>
      <c r="F400" s="74">
        <f t="shared" ref="F400:F441" si="194">+E400+D400</f>
        <v>200</v>
      </c>
      <c r="G400" s="74"/>
      <c r="H400" s="74">
        <f t="shared" si="191"/>
        <v>200</v>
      </c>
      <c r="I400" s="71">
        <v>572</v>
      </c>
      <c r="J400" s="73"/>
      <c r="K400" s="74"/>
      <c r="L400" s="74"/>
      <c r="M400" s="74"/>
      <c r="N400" s="74">
        <f t="shared" ref="N400:N402" si="195">+M400+L400</f>
        <v>0</v>
      </c>
      <c r="O400" s="74"/>
      <c r="P400" s="67">
        <v>1250</v>
      </c>
      <c r="Q400" s="87" t="e">
        <f t="shared" si="190"/>
        <v>#DIV/0!</v>
      </c>
      <c r="R400" s="88"/>
    </row>
    <row r="401" spans="1:25" ht="14.1" customHeight="1" x14ac:dyDescent="0.2">
      <c r="A401" s="89"/>
      <c r="B401" s="90">
        <v>5503</v>
      </c>
      <c r="C401" s="72" t="s">
        <v>107</v>
      </c>
      <c r="D401" s="102">
        <v>0</v>
      </c>
      <c r="E401" s="71"/>
      <c r="F401" s="74">
        <f t="shared" si="194"/>
        <v>0</v>
      </c>
      <c r="G401" s="74"/>
      <c r="H401" s="74">
        <f t="shared" si="191"/>
        <v>0</v>
      </c>
      <c r="I401" s="71"/>
      <c r="J401" s="73"/>
      <c r="K401" s="74"/>
      <c r="L401" s="74"/>
      <c r="M401" s="74"/>
      <c r="N401" s="74">
        <f t="shared" si="195"/>
        <v>0</v>
      </c>
      <c r="O401" s="74"/>
      <c r="P401" s="67">
        <f>+N401+M401</f>
        <v>0</v>
      </c>
      <c r="Q401" s="87" t="e">
        <f t="shared" si="190"/>
        <v>#DIV/0!</v>
      </c>
      <c r="R401" s="88"/>
    </row>
    <row r="402" spans="1:25" ht="14.1" customHeight="1" x14ac:dyDescent="0.2">
      <c r="A402" s="89"/>
      <c r="B402" s="90" t="s">
        <v>108</v>
      </c>
      <c r="C402" s="72" t="s">
        <v>118</v>
      </c>
      <c r="D402" s="102">
        <v>0</v>
      </c>
      <c r="E402" s="71"/>
      <c r="F402" s="74">
        <f t="shared" si="194"/>
        <v>0</v>
      </c>
      <c r="G402" s="74"/>
      <c r="H402" s="74">
        <f t="shared" si="191"/>
        <v>0</v>
      </c>
      <c r="I402" s="71">
        <v>240</v>
      </c>
      <c r="J402" s="73"/>
      <c r="K402" s="74"/>
      <c r="L402" s="74"/>
      <c r="M402" s="74"/>
      <c r="N402" s="74">
        <f t="shared" si="195"/>
        <v>0</v>
      </c>
      <c r="O402" s="74"/>
      <c r="P402" s="67">
        <f>+N402+M402</f>
        <v>0</v>
      </c>
      <c r="Q402" s="87" t="e">
        <f t="shared" si="190"/>
        <v>#DIV/0!</v>
      </c>
      <c r="R402" s="88"/>
      <c r="T402" s="171"/>
    </row>
    <row r="403" spans="1:25" ht="14.1" customHeight="1" x14ac:dyDescent="0.2">
      <c r="A403" s="89"/>
      <c r="B403" s="90" t="s">
        <v>119</v>
      </c>
      <c r="C403" s="72" t="s">
        <v>222</v>
      </c>
      <c r="D403" s="102">
        <v>58100</v>
      </c>
      <c r="E403" s="71"/>
      <c r="F403" s="74">
        <f t="shared" si="194"/>
        <v>58100</v>
      </c>
      <c r="G403" s="74"/>
      <c r="H403" s="74">
        <f t="shared" si="191"/>
        <v>58100</v>
      </c>
      <c r="I403" s="71">
        <f>SUM(I404:I413)</f>
        <v>45098.92</v>
      </c>
      <c r="J403" s="73">
        <f>SUM(J404:J413)</f>
        <v>68600</v>
      </c>
      <c r="K403" s="74"/>
      <c r="L403" s="74">
        <f>SUM(L404:L413)</f>
        <v>68600</v>
      </c>
      <c r="M403" s="74">
        <f t="shared" ref="M403:O403" si="196">SUM(M404:M413)</f>
        <v>0</v>
      </c>
      <c r="N403" s="74">
        <f t="shared" si="196"/>
        <v>68600</v>
      </c>
      <c r="O403" s="74">
        <f t="shared" si="196"/>
        <v>46420</v>
      </c>
      <c r="P403" s="67">
        <f>SUM(P404:P413)</f>
        <v>82665</v>
      </c>
      <c r="Q403" s="87">
        <f t="shared" si="190"/>
        <v>0.20502915451895043</v>
      </c>
      <c r="R403" s="88"/>
    </row>
    <row r="404" spans="1:25" ht="14.1" customHeight="1" x14ac:dyDescent="0.2">
      <c r="A404" s="89"/>
      <c r="B404" s="90"/>
      <c r="C404" s="154" t="s">
        <v>223</v>
      </c>
      <c r="D404" s="157">
        <v>30000</v>
      </c>
      <c r="E404" s="71"/>
      <c r="F404" s="74">
        <f t="shared" si="194"/>
        <v>30000</v>
      </c>
      <c r="G404" s="74"/>
      <c r="H404" s="153">
        <f t="shared" si="191"/>
        <v>30000</v>
      </c>
      <c r="I404" s="179">
        <v>17342.939999999999</v>
      </c>
      <c r="J404" s="159">
        <v>35000</v>
      </c>
      <c r="K404" s="153"/>
      <c r="L404" s="153">
        <v>35000</v>
      </c>
      <c r="M404" s="153"/>
      <c r="N404" s="153">
        <f>+L404+M404</f>
        <v>35000</v>
      </c>
      <c r="O404" s="153">
        <v>16959</v>
      </c>
      <c r="P404" s="155">
        <v>45000</v>
      </c>
      <c r="Q404" s="87">
        <f t="shared" si="190"/>
        <v>0.2857142857142857</v>
      </c>
      <c r="R404" s="88" t="s">
        <v>817</v>
      </c>
    </row>
    <row r="405" spans="1:25" ht="14.1" customHeight="1" x14ac:dyDescent="0.2">
      <c r="A405" s="89"/>
      <c r="B405" s="90"/>
      <c r="C405" s="154" t="s">
        <v>224</v>
      </c>
      <c r="D405" s="157">
        <v>7500</v>
      </c>
      <c r="E405" s="71"/>
      <c r="F405" s="74">
        <f t="shared" si="194"/>
        <v>7500</v>
      </c>
      <c r="G405" s="74"/>
      <c r="H405" s="153">
        <f t="shared" si="191"/>
        <v>7500</v>
      </c>
      <c r="I405" s="179">
        <v>4767.8599999999997</v>
      </c>
      <c r="J405" s="159">
        <v>11000</v>
      </c>
      <c r="K405" s="153"/>
      <c r="L405" s="153">
        <v>11000</v>
      </c>
      <c r="M405" s="153"/>
      <c r="N405" s="153">
        <f t="shared" ref="N405:N413" si="197">+L405+M405</f>
        <v>11000</v>
      </c>
      <c r="O405" s="153">
        <v>6574</v>
      </c>
      <c r="P405" s="155">
        <v>10000</v>
      </c>
      <c r="Q405" s="87">
        <f t="shared" si="190"/>
        <v>-9.0909090909090912E-2</v>
      </c>
      <c r="R405" s="88"/>
    </row>
    <row r="406" spans="1:25" ht="14.1" customHeight="1" x14ac:dyDescent="0.2">
      <c r="A406" s="89"/>
      <c r="B406" s="90"/>
      <c r="C406" s="154" t="s">
        <v>225</v>
      </c>
      <c r="D406" s="157">
        <v>6000</v>
      </c>
      <c r="E406" s="71"/>
      <c r="F406" s="74">
        <f t="shared" si="194"/>
        <v>6000</v>
      </c>
      <c r="G406" s="74"/>
      <c r="H406" s="153">
        <f t="shared" si="191"/>
        <v>6000</v>
      </c>
      <c r="I406" s="179">
        <v>2660.75</v>
      </c>
      <c r="J406" s="159">
        <v>6500</v>
      </c>
      <c r="K406" s="153"/>
      <c r="L406" s="153">
        <v>6500</v>
      </c>
      <c r="M406" s="153"/>
      <c r="N406" s="153">
        <f t="shared" si="197"/>
        <v>6500</v>
      </c>
      <c r="O406" s="153">
        <v>3609</v>
      </c>
      <c r="P406" s="155">
        <v>4000</v>
      </c>
      <c r="Q406" s="87">
        <f t="shared" si="190"/>
        <v>-0.38461538461538464</v>
      </c>
      <c r="R406" s="88"/>
    </row>
    <row r="407" spans="1:25" ht="14.1" customHeight="1" x14ac:dyDescent="0.2">
      <c r="A407" s="89"/>
      <c r="B407" s="90"/>
      <c r="C407" s="154" t="s">
        <v>226</v>
      </c>
      <c r="D407" s="157">
        <v>3000</v>
      </c>
      <c r="E407" s="71"/>
      <c r="F407" s="74">
        <f t="shared" si="194"/>
        <v>3000</v>
      </c>
      <c r="G407" s="74"/>
      <c r="H407" s="153">
        <f t="shared" si="191"/>
        <v>3000</v>
      </c>
      <c r="I407" s="179">
        <v>6368.21</v>
      </c>
      <c r="J407" s="159">
        <v>4000</v>
      </c>
      <c r="K407" s="153"/>
      <c r="L407" s="153">
        <v>4000</v>
      </c>
      <c r="M407" s="153"/>
      <c r="N407" s="153">
        <f t="shared" si="197"/>
        <v>4000</v>
      </c>
      <c r="O407" s="153">
        <v>8242</v>
      </c>
      <c r="P407" s="155">
        <v>10400</v>
      </c>
      <c r="Q407" s="87">
        <f t="shared" si="190"/>
        <v>1.6</v>
      </c>
      <c r="R407" s="88"/>
    </row>
    <row r="408" spans="1:25" ht="14.1" customHeight="1" x14ac:dyDescent="0.2">
      <c r="A408" s="89"/>
      <c r="B408" s="90"/>
      <c r="C408" s="154" t="s">
        <v>227</v>
      </c>
      <c r="D408" s="157">
        <v>3500</v>
      </c>
      <c r="E408" s="71"/>
      <c r="F408" s="74">
        <f t="shared" si="194"/>
        <v>3500</v>
      </c>
      <c r="G408" s="74"/>
      <c r="H408" s="153">
        <f t="shared" si="191"/>
        <v>3500</v>
      </c>
      <c r="I408" s="179">
        <v>3980.81</v>
      </c>
      <c r="J408" s="159">
        <v>4000</v>
      </c>
      <c r="K408" s="153"/>
      <c r="L408" s="153">
        <v>4000</v>
      </c>
      <c r="M408" s="153"/>
      <c r="N408" s="153">
        <f t="shared" si="197"/>
        <v>4000</v>
      </c>
      <c r="O408" s="153">
        <v>2866</v>
      </c>
      <c r="P408" s="155">
        <v>3600</v>
      </c>
      <c r="Q408" s="87">
        <f t="shared" si="190"/>
        <v>-0.1</v>
      </c>
      <c r="R408" s="88"/>
    </row>
    <row r="409" spans="1:25" ht="14.1" customHeight="1" x14ac:dyDescent="0.2">
      <c r="A409" s="89"/>
      <c r="B409" s="90"/>
      <c r="C409" s="154" t="s">
        <v>228</v>
      </c>
      <c r="D409" s="157">
        <v>350</v>
      </c>
      <c r="E409" s="71"/>
      <c r="F409" s="74">
        <f t="shared" si="194"/>
        <v>350</v>
      </c>
      <c r="G409" s="74"/>
      <c r="H409" s="153">
        <f t="shared" si="191"/>
        <v>350</v>
      </c>
      <c r="I409" s="179">
        <v>573.35</v>
      </c>
      <c r="J409" s="159">
        <v>1200</v>
      </c>
      <c r="K409" s="153"/>
      <c r="L409" s="153">
        <v>1200</v>
      </c>
      <c r="M409" s="153"/>
      <c r="N409" s="153">
        <f t="shared" si="197"/>
        <v>1200</v>
      </c>
      <c r="O409" s="153">
        <v>459</v>
      </c>
      <c r="P409" s="155">
        <v>800</v>
      </c>
      <c r="Q409" s="87">
        <f t="shared" si="190"/>
        <v>-0.33333333333333331</v>
      </c>
      <c r="R409" s="88"/>
    </row>
    <row r="410" spans="1:25" ht="14.1" customHeight="1" x14ac:dyDescent="0.2">
      <c r="A410" s="89"/>
      <c r="B410" s="90"/>
      <c r="C410" s="154" t="s">
        <v>229</v>
      </c>
      <c r="D410" s="157">
        <v>1200</v>
      </c>
      <c r="E410" s="71"/>
      <c r="F410" s="74">
        <f t="shared" si="194"/>
        <v>1200</v>
      </c>
      <c r="G410" s="74"/>
      <c r="H410" s="153">
        <f t="shared" si="191"/>
        <v>1200</v>
      </c>
      <c r="I410" s="158">
        <v>1403</v>
      </c>
      <c r="J410" s="159">
        <v>1200</v>
      </c>
      <c r="K410" s="153"/>
      <c r="L410" s="153">
        <v>1200</v>
      </c>
      <c r="M410" s="153"/>
      <c r="N410" s="153">
        <f t="shared" si="197"/>
        <v>1200</v>
      </c>
      <c r="O410" s="195">
        <v>2404</v>
      </c>
      <c r="P410" s="155">
        <v>0</v>
      </c>
      <c r="Q410" s="87">
        <f t="shared" si="190"/>
        <v>-1</v>
      </c>
      <c r="R410" s="111" t="s">
        <v>823</v>
      </c>
      <c r="Y410" s="49"/>
    </row>
    <row r="411" spans="1:25" ht="14.1" customHeight="1" x14ac:dyDescent="0.2">
      <c r="A411" s="89"/>
      <c r="B411" s="90"/>
      <c r="C411" s="154" t="s">
        <v>230</v>
      </c>
      <c r="D411" s="157">
        <v>6000</v>
      </c>
      <c r="E411" s="71"/>
      <c r="F411" s="74">
        <f t="shared" si="194"/>
        <v>6000</v>
      </c>
      <c r="G411" s="74"/>
      <c r="H411" s="153">
        <f t="shared" si="191"/>
        <v>6000</v>
      </c>
      <c r="I411" s="158">
        <v>8002</v>
      </c>
      <c r="J411" s="159">
        <v>3000</v>
      </c>
      <c r="K411" s="153"/>
      <c r="L411" s="153">
        <v>3000</v>
      </c>
      <c r="M411" s="153"/>
      <c r="N411" s="153">
        <f t="shared" si="197"/>
        <v>3000</v>
      </c>
      <c r="O411" s="153">
        <v>4642</v>
      </c>
      <c r="P411" s="155">
        <v>5000</v>
      </c>
      <c r="Q411" s="87">
        <f t="shared" si="190"/>
        <v>0.66666666666666663</v>
      </c>
      <c r="R411" s="88" t="s">
        <v>819</v>
      </c>
      <c r="Y411" s="49"/>
    </row>
    <row r="412" spans="1:25" ht="14.1" customHeight="1" x14ac:dyDescent="0.2">
      <c r="A412" s="89"/>
      <c r="B412" s="90"/>
      <c r="C412" s="154" t="s">
        <v>231</v>
      </c>
      <c r="D412" s="157">
        <v>550</v>
      </c>
      <c r="E412" s="71"/>
      <c r="F412" s="74">
        <f t="shared" si="194"/>
        <v>550</v>
      </c>
      <c r="G412" s="74"/>
      <c r="H412" s="153">
        <f t="shared" si="191"/>
        <v>550</v>
      </c>
      <c r="I412" s="158"/>
      <c r="J412" s="159">
        <v>550</v>
      </c>
      <c r="K412" s="153"/>
      <c r="L412" s="153">
        <v>550</v>
      </c>
      <c r="M412" s="153"/>
      <c r="N412" s="153">
        <f t="shared" si="197"/>
        <v>550</v>
      </c>
      <c r="O412" s="153">
        <v>665</v>
      </c>
      <c r="P412" s="155">
        <v>665</v>
      </c>
      <c r="Q412" s="87">
        <f t="shared" si="190"/>
        <v>0.20909090909090908</v>
      </c>
      <c r="R412" s="88"/>
      <c r="Y412" s="49"/>
    </row>
    <row r="413" spans="1:25" ht="14.1" customHeight="1" x14ac:dyDescent="0.2">
      <c r="A413" s="89"/>
      <c r="B413" s="90"/>
      <c r="C413" s="154" t="s">
        <v>232</v>
      </c>
      <c r="D413" s="157">
        <v>0</v>
      </c>
      <c r="E413" s="71"/>
      <c r="F413" s="74">
        <f t="shared" si="194"/>
        <v>0</v>
      </c>
      <c r="G413" s="74"/>
      <c r="H413" s="153">
        <f t="shared" si="191"/>
        <v>0</v>
      </c>
      <c r="I413" s="158"/>
      <c r="J413" s="159">
        <v>2150</v>
      </c>
      <c r="K413" s="153"/>
      <c r="L413" s="153">
        <v>2150</v>
      </c>
      <c r="M413" s="153"/>
      <c r="N413" s="153">
        <f t="shared" si="197"/>
        <v>2150</v>
      </c>
      <c r="O413" s="153"/>
      <c r="P413" s="155">
        <v>3200</v>
      </c>
      <c r="Q413" s="87">
        <f t="shared" si="190"/>
        <v>0.48837209302325579</v>
      </c>
      <c r="R413" s="88" t="s">
        <v>820</v>
      </c>
      <c r="Y413" s="49"/>
    </row>
    <row r="414" spans="1:25" ht="14.1" customHeight="1" x14ac:dyDescent="0.2">
      <c r="A414" s="89"/>
      <c r="B414" s="90">
        <v>5512</v>
      </c>
      <c r="C414" s="72" t="s">
        <v>822</v>
      </c>
      <c r="D414" s="102"/>
      <c r="E414" s="71"/>
      <c r="F414" s="74"/>
      <c r="G414" s="74"/>
      <c r="H414" s="74"/>
      <c r="I414" s="71"/>
      <c r="J414" s="73"/>
      <c r="K414" s="74"/>
      <c r="L414" s="74"/>
      <c r="M414" s="74"/>
      <c r="N414" s="74"/>
      <c r="O414" s="74"/>
      <c r="P414" s="67">
        <v>1600</v>
      </c>
      <c r="Q414" s="87">
        <v>1</v>
      </c>
      <c r="R414" s="88" t="s">
        <v>836</v>
      </c>
      <c r="Y414" s="49"/>
    </row>
    <row r="415" spans="1:25" ht="14.1" customHeight="1" x14ac:dyDescent="0.2">
      <c r="A415" s="89"/>
      <c r="B415" s="90" t="s">
        <v>129</v>
      </c>
      <c r="C415" s="72" t="s">
        <v>130</v>
      </c>
      <c r="D415" s="102">
        <v>0</v>
      </c>
      <c r="E415" s="71"/>
      <c r="F415" s="74">
        <f t="shared" si="194"/>
        <v>0</v>
      </c>
      <c r="G415" s="74"/>
      <c r="H415" s="74">
        <f t="shared" si="191"/>
        <v>0</v>
      </c>
      <c r="I415" s="71">
        <v>0</v>
      </c>
      <c r="J415" s="73"/>
      <c r="K415" s="74"/>
      <c r="L415" s="74"/>
      <c r="M415" s="74"/>
      <c r="N415" s="74">
        <f t="shared" ref="N415:N422" si="198">+M415+L415</f>
        <v>0</v>
      </c>
      <c r="O415" s="74"/>
      <c r="P415" s="67">
        <f>+N415+M415</f>
        <v>0</v>
      </c>
      <c r="Q415" s="87"/>
      <c r="R415" s="88"/>
      <c r="S415" s="53"/>
      <c r="Y415" s="49"/>
    </row>
    <row r="416" spans="1:25" ht="14.1" customHeight="1" x14ac:dyDescent="0.2">
      <c r="A416" s="89"/>
      <c r="B416" s="90" t="s">
        <v>131</v>
      </c>
      <c r="C416" s="72" t="s">
        <v>112</v>
      </c>
      <c r="D416" s="102">
        <v>3800</v>
      </c>
      <c r="E416" s="71"/>
      <c r="F416" s="74">
        <f t="shared" si="194"/>
        <v>3800</v>
      </c>
      <c r="G416" s="74"/>
      <c r="H416" s="74">
        <f t="shared" si="191"/>
        <v>3800</v>
      </c>
      <c r="I416" s="71">
        <v>2523</v>
      </c>
      <c r="J416" s="73">
        <v>450</v>
      </c>
      <c r="K416" s="74"/>
      <c r="L416" s="74">
        <v>450</v>
      </c>
      <c r="M416" s="74"/>
      <c r="N416" s="74">
        <f t="shared" si="198"/>
        <v>450</v>
      </c>
      <c r="O416" s="74">
        <v>123</v>
      </c>
      <c r="P416" s="67">
        <f>+N416+M416</f>
        <v>450</v>
      </c>
      <c r="Q416" s="87">
        <f t="shared" si="190"/>
        <v>0</v>
      </c>
      <c r="R416" s="88"/>
      <c r="Y416" s="49"/>
    </row>
    <row r="417" spans="1:25" ht="14.1" customHeight="1" x14ac:dyDescent="0.2">
      <c r="A417" s="89"/>
      <c r="B417" s="90" t="s">
        <v>132</v>
      </c>
      <c r="C417" s="72" t="s">
        <v>133</v>
      </c>
      <c r="D417" s="102">
        <v>0</v>
      </c>
      <c r="E417" s="71"/>
      <c r="F417" s="74">
        <f t="shared" si="194"/>
        <v>0</v>
      </c>
      <c r="G417" s="74"/>
      <c r="H417" s="74">
        <f t="shared" si="191"/>
        <v>0</v>
      </c>
      <c r="I417" s="71">
        <v>1869</v>
      </c>
      <c r="J417" s="73">
        <v>1095</v>
      </c>
      <c r="K417" s="74"/>
      <c r="L417" s="74">
        <v>1095</v>
      </c>
      <c r="M417" s="74"/>
      <c r="N417" s="74">
        <f t="shared" si="198"/>
        <v>1095</v>
      </c>
      <c r="O417" s="74">
        <v>351</v>
      </c>
      <c r="P417" s="67">
        <v>3000</v>
      </c>
      <c r="Q417" s="87">
        <f t="shared" si="190"/>
        <v>1.7397260273972603</v>
      </c>
      <c r="R417" s="88"/>
      <c r="Y417" s="49"/>
    </row>
    <row r="418" spans="1:25" ht="14.1" customHeight="1" x14ac:dyDescent="0.2">
      <c r="A418" s="89"/>
      <c r="B418" s="90">
        <v>5516</v>
      </c>
      <c r="C418" s="56" t="s">
        <v>210</v>
      </c>
      <c r="D418" s="102">
        <v>0</v>
      </c>
      <c r="E418" s="71"/>
      <c r="F418" s="74">
        <f t="shared" si="194"/>
        <v>0</v>
      </c>
      <c r="G418" s="74"/>
      <c r="H418" s="74">
        <f t="shared" si="191"/>
        <v>0</v>
      </c>
      <c r="I418" s="71">
        <v>912</v>
      </c>
      <c r="J418" s="73">
        <v>4500</v>
      </c>
      <c r="K418" s="74"/>
      <c r="L418" s="74">
        <v>4500</v>
      </c>
      <c r="M418" s="74"/>
      <c r="N418" s="74">
        <f t="shared" si="198"/>
        <v>4500</v>
      </c>
      <c r="O418" s="74">
        <v>5324</v>
      </c>
      <c r="P418" s="67">
        <v>10000</v>
      </c>
      <c r="Q418" s="87">
        <f t="shared" si="190"/>
        <v>1.2222222222222223</v>
      </c>
      <c r="R418" s="88" t="s">
        <v>821</v>
      </c>
      <c r="Y418" s="49"/>
    </row>
    <row r="419" spans="1:25" ht="14.1" customHeight="1" x14ac:dyDescent="0.2">
      <c r="A419" s="89"/>
      <c r="B419" s="90">
        <v>5521</v>
      </c>
      <c r="C419" s="72" t="s">
        <v>263</v>
      </c>
      <c r="D419" s="102"/>
      <c r="E419" s="71"/>
      <c r="F419" s="74"/>
      <c r="G419" s="74"/>
      <c r="H419" s="74"/>
      <c r="I419" s="71"/>
      <c r="J419" s="73"/>
      <c r="K419" s="74"/>
      <c r="L419" s="74"/>
      <c r="M419" s="74"/>
      <c r="N419" s="74"/>
      <c r="O419" s="74"/>
      <c r="P419" s="67">
        <v>500</v>
      </c>
      <c r="Q419" s="87">
        <v>1</v>
      </c>
      <c r="R419" s="88"/>
      <c r="Y419" s="49"/>
    </row>
    <row r="420" spans="1:25" ht="14.1" customHeight="1" x14ac:dyDescent="0.2">
      <c r="A420" s="89"/>
      <c r="B420" s="90">
        <v>5522</v>
      </c>
      <c r="C420" s="72" t="s">
        <v>137</v>
      </c>
      <c r="D420" s="102">
        <v>0</v>
      </c>
      <c r="E420" s="71"/>
      <c r="F420" s="74">
        <f t="shared" si="194"/>
        <v>0</v>
      </c>
      <c r="G420" s="74"/>
      <c r="H420" s="74">
        <f t="shared" si="191"/>
        <v>0</v>
      </c>
      <c r="I420" s="71">
        <v>0</v>
      </c>
      <c r="J420" s="73">
        <v>300</v>
      </c>
      <c r="K420" s="74"/>
      <c r="L420" s="74">
        <v>300</v>
      </c>
      <c r="M420" s="74"/>
      <c r="N420" s="74">
        <f t="shared" si="198"/>
        <v>300</v>
      </c>
      <c r="O420" s="74"/>
      <c r="P420" s="67">
        <f>+N420+M420</f>
        <v>300</v>
      </c>
      <c r="Q420" s="87">
        <f t="shared" si="190"/>
        <v>0</v>
      </c>
      <c r="R420" s="88"/>
      <c r="Y420" s="49"/>
    </row>
    <row r="421" spans="1:25" ht="14.1" customHeight="1" x14ac:dyDescent="0.2">
      <c r="A421" s="89"/>
      <c r="B421" s="90" t="s">
        <v>138</v>
      </c>
      <c r="C421" s="72" t="s">
        <v>139</v>
      </c>
      <c r="D421" s="102">
        <v>0</v>
      </c>
      <c r="E421" s="71"/>
      <c r="F421" s="74">
        <f t="shared" si="194"/>
        <v>0</v>
      </c>
      <c r="G421" s="74"/>
      <c r="H421" s="74">
        <f t="shared" si="191"/>
        <v>0</v>
      </c>
      <c r="I421" s="71">
        <v>406</v>
      </c>
      <c r="J421" s="73"/>
      <c r="K421" s="74"/>
      <c r="L421" s="74"/>
      <c r="M421" s="74"/>
      <c r="N421" s="74">
        <f t="shared" si="198"/>
        <v>0</v>
      </c>
      <c r="O421" s="74"/>
      <c r="P421" s="67">
        <v>450</v>
      </c>
      <c r="Q421" s="87" t="e">
        <f t="shared" si="190"/>
        <v>#DIV/0!</v>
      </c>
      <c r="R421" s="88"/>
      <c r="Y421" s="49"/>
    </row>
    <row r="422" spans="1:25" ht="14.1" customHeight="1" x14ac:dyDescent="0.2">
      <c r="A422" s="89"/>
      <c r="B422" s="90" t="s">
        <v>164</v>
      </c>
      <c r="C422" s="72" t="s">
        <v>193</v>
      </c>
      <c r="D422" s="102"/>
      <c r="E422" s="71"/>
      <c r="F422" s="74">
        <f t="shared" si="194"/>
        <v>0</v>
      </c>
      <c r="G422" s="74"/>
      <c r="H422" s="74">
        <f t="shared" si="191"/>
        <v>0</v>
      </c>
      <c r="I422" s="71">
        <v>5490</v>
      </c>
      <c r="J422" s="73"/>
      <c r="K422" s="74"/>
      <c r="L422" s="74"/>
      <c r="M422" s="74"/>
      <c r="N422" s="74">
        <f t="shared" si="198"/>
        <v>0</v>
      </c>
      <c r="O422" s="74"/>
      <c r="P422" s="67">
        <f>+N422+M422</f>
        <v>0</v>
      </c>
      <c r="Q422" s="87" t="e">
        <f t="shared" si="190"/>
        <v>#DIV/0!</v>
      </c>
      <c r="R422" s="88"/>
    </row>
    <row r="423" spans="1:25" ht="14.1" customHeight="1" x14ac:dyDescent="0.2">
      <c r="A423" s="164" t="s">
        <v>1431</v>
      </c>
      <c r="B423" s="147"/>
      <c r="C423" s="148" t="s">
        <v>1429</v>
      </c>
      <c r="D423" s="149">
        <v>82010</v>
      </c>
      <c r="E423" s="150"/>
      <c r="F423" s="137">
        <f t="shared" si="194"/>
        <v>82010</v>
      </c>
      <c r="G423" s="137">
        <v>0</v>
      </c>
      <c r="H423" s="137">
        <f>+H424+H425</f>
        <v>82010</v>
      </c>
      <c r="I423" s="150" t="e">
        <f>+I424+I425</f>
        <v>#REF!</v>
      </c>
      <c r="J423" s="152" t="e">
        <f>+J424+J425</f>
        <v>#REF!</v>
      </c>
      <c r="K423" s="152">
        <f>+K424+K425</f>
        <v>0</v>
      </c>
      <c r="L423" s="152" t="e">
        <f>+L424+L425</f>
        <v>#REF!</v>
      </c>
      <c r="M423" s="152" t="e">
        <f t="shared" ref="M423:N423" si="199">+M424+M425</f>
        <v>#REF!</v>
      </c>
      <c r="N423" s="152">
        <f t="shared" si="199"/>
        <v>0</v>
      </c>
      <c r="O423" s="152">
        <f t="shared" ref="O423:P423" si="200">+O424+O425</f>
        <v>0</v>
      </c>
      <c r="P423" s="152">
        <f t="shared" si="200"/>
        <v>7000</v>
      </c>
      <c r="Q423" s="87"/>
      <c r="R423" s="88"/>
    </row>
    <row r="424" spans="1:25" ht="14.1" customHeight="1" x14ac:dyDescent="0.2">
      <c r="A424" s="94"/>
      <c r="B424" s="95" t="s">
        <v>101</v>
      </c>
      <c r="C424" s="96" t="s">
        <v>102</v>
      </c>
      <c r="D424" s="43">
        <v>19910</v>
      </c>
      <c r="E424" s="71"/>
      <c r="F424" s="74">
        <f t="shared" si="194"/>
        <v>19910</v>
      </c>
      <c r="G424" s="74"/>
      <c r="H424" s="74">
        <f>+G424+F424</f>
        <v>19910</v>
      </c>
      <c r="I424" s="71">
        <v>16893</v>
      </c>
      <c r="J424" s="73">
        <v>24800</v>
      </c>
      <c r="K424" s="74"/>
      <c r="L424" s="140">
        <f>+K424+J424</f>
        <v>24800</v>
      </c>
      <c r="M424" s="140"/>
      <c r="N424" s="140">
        <v>0</v>
      </c>
      <c r="O424" s="140">
        <v>0</v>
      </c>
      <c r="P424" s="140">
        <v>0</v>
      </c>
      <c r="Q424" s="87"/>
      <c r="R424" s="88"/>
    </row>
    <row r="425" spans="1:25" ht="14.1" customHeight="1" x14ac:dyDescent="0.2">
      <c r="A425" s="89"/>
      <c r="B425" s="95" t="s">
        <v>103</v>
      </c>
      <c r="C425" s="96" t="s">
        <v>104</v>
      </c>
      <c r="D425" s="43">
        <v>62100</v>
      </c>
      <c r="E425" s="71"/>
      <c r="F425" s="74">
        <f t="shared" si="194"/>
        <v>62100</v>
      </c>
      <c r="G425" s="74"/>
      <c r="H425" s="74">
        <f t="shared" ref="H425" si="201">+G425+F425</f>
        <v>62100</v>
      </c>
      <c r="I425" s="71" t="e">
        <f>+I426+I427+#REF!+#REF!+I439+I440+I441+I442+I444+I445+I446</f>
        <v>#REF!</v>
      </c>
      <c r="J425" s="73" t="e">
        <f>+J426+J427+#REF!+#REF!+J439+J440+J441+J442+J444+J445+J446</f>
        <v>#REF!</v>
      </c>
      <c r="K425" s="74"/>
      <c r="L425" s="141" t="e">
        <f>+L426+L427+#REF!+#REF!+L439+L440+L441+L442+L444+L445+L446</f>
        <v>#REF!</v>
      </c>
      <c r="M425" s="141" t="e">
        <f>+M426+M427+#REF!+#REF!+M439+M440+M441+M442+M444+M445+M446</f>
        <v>#REF!</v>
      </c>
      <c r="N425" s="141">
        <v>0</v>
      </c>
      <c r="O425" s="141">
        <v>0</v>
      </c>
      <c r="P425" s="141">
        <f>P426+P427</f>
        <v>7000</v>
      </c>
      <c r="Q425" s="87"/>
      <c r="R425" s="88"/>
    </row>
    <row r="426" spans="1:25" ht="14.1" customHeight="1" x14ac:dyDescent="0.2">
      <c r="A426" s="89"/>
      <c r="B426" s="90">
        <v>5512</v>
      </c>
      <c r="C426" s="72" t="s">
        <v>822</v>
      </c>
      <c r="D426" s="102"/>
      <c r="E426" s="71"/>
      <c r="F426" s="74"/>
      <c r="G426" s="74"/>
      <c r="H426" s="74"/>
      <c r="I426" s="71"/>
      <c r="J426" s="73"/>
      <c r="K426" s="74"/>
      <c r="L426" s="74"/>
      <c r="M426" s="74"/>
      <c r="N426" s="74"/>
      <c r="O426" s="74"/>
      <c r="P426" s="67">
        <f>6000+1000</f>
        <v>7000</v>
      </c>
      <c r="Q426" s="87"/>
      <c r="R426" s="88" t="s">
        <v>1430</v>
      </c>
    </row>
    <row r="427" spans="1:25" ht="14.1" customHeight="1" x14ac:dyDescent="0.2">
      <c r="A427" s="89"/>
      <c r="B427" s="90" t="s">
        <v>164</v>
      </c>
      <c r="C427" s="72" t="s">
        <v>193</v>
      </c>
      <c r="D427" s="102"/>
      <c r="E427" s="71"/>
      <c r="F427" s="74"/>
      <c r="G427" s="74"/>
      <c r="H427" s="74"/>
      <c r="I427" s="71"/>
      <c r="J427" s="73"/>
      <c r="K427" s="73"/>
      <c r="L427" s="73"/>
      <c r="M427" s="73"/>
      <c r="N427" s="73"/>
      <c r="O427" s="73"/>
      <c r="P427" s="67"/>
      <c r="Q427" s="87"/>
      <c r="R427" s="88"/>
    </row>
    <row r="428" spans="1:25" ht="14.1" customHeight="1" x14ac:dyDescent="0.2">
      <c r="A428" s="146" t="s">
        <v>667</v>
      </c>
      <c r="B428" s="147"/>
      <c r="C428" s="148" t="s">
        <v>234</v>
      </c>
      <c r="D428" s="149">
        <v>294935</v>
      </c>
      <c r="E428" s="151">
        <f>+E429+E430</f>
        <v>265</v>
      </c>
      <c r="F428" s="137">
        <f t="shared" si="194"/>
        <v>295200</v>
      </c>
      <c r="G428" s="137">
        <f t="shared" ref="G428:L428" si="202">+G429+G430</f>
        <v>0</v>
      </c>
      <c r="H428" s="137">
        <f t="shared" si="202"/>
        <v>295200</v>
      </c>
      <c r="I428" s="151">
        <f t="shared" si="202"/>
        <v>237004</v>
      </c>
      <c r="J428" s="152">
        <f t="shared" si="202"/>
        <v>332500</v>
      </c>
      <c r="K428" s="152">
        <f t="shared" si="202"/>
        <v>-7500</v>
      </c>
      <c r="L428" s="152">
        <f t="shared" si="202"/>
        <v>325000</v>
      </c>
      <c r="M428" s="152">
        <f t="shared" ref="M428:N428" si="203">+M429+M430</f>
        <v>5000</v>
      </c>
      <c r="N428" s="152">
        <f t="shared" si="203"/>
        <v>330000</v>
      </c>
      <c r="O428" s="152">
        <f>+O429+O430</f>
        <v>284410</v>
      </c>
      <c r="P428" s="152">
        <f>+P429+P430</f>
        <v>426220</v>
      </c>
      <c r="Q428" s="87">
        <f t="shared" si="190"/>
        <v>0.2915757575757576</v>
      </c>
      <c r="R428" s="88"/>
    </row>
    <row r="429" spans="1:25" ht="14.1" customHeight="1" x14ac:dyDescent="0.2">
      <c r="A429" s="89"/>
      <c r="B429" s="95" t="s">
        <v>101</v>
      </c>
      <c r="C429" s="96" t="s">
        <v>102</v>
      </c>
      <c r="D429" s="43">
        <v>239635</v>
      </c>
      <c r="E429" s="71">
        <v>0</v>
      </c>
      <c r="F429" s="74">
        <f t="shared" si="194"/>
        <v>239635</v>
      </c>
      <c r="G429" s="74">
        <v>15200</v>
      </c>
      <c r="H429" s="74">
        <f>+G429+F429</f>
        <v>254835</v>
      </c>
      <c r="I429" s="71">
        <v>209848</v>
      </c>
      <c r="J429" s="73">
        <v>276750</v>
      </c>
      <c r="K429" s="74"/>
      <c r="L429" s="140">
        <f>+K429+J429</f>
        <v>276750</v>
      </c>
      <c r="M429" s="92">
        <v>5000</v>
      </c>
      <c r="N429" s="140">
        <f t="shared" ref="N429" si="204">+M429+L429</f>
        <v>281750</v>
      </c>
      <c r="O429" s="140">
        <v>248407</v>
      </c>
      <c r="P429" s="67">
        <v>376100</v>
      </c>
      <c r="Q429" s="87">
        <f t="shared" si="190"/>
        <v>0.33487133984028394</v>
      </c>
      <c r="R429" s="88" t="s">
        <v>827</v>
      </c>
      <c r="V429" s="56" t="s">
        <v>1536</v>
      </c>
    </row>
    <row r="430" spans="1:25" ht="14.1" customHeight="1" x14ac:dyDescent="0.2">
      <c r="A430" s="89"/>
      <c r="B430" s="95" t="s">
        <v>103</v>
      </c>
      <c r="C430" s="96" t="s">
        <v>104</v>
      </c>
      <c r="D430" s="43">
        <v>55300</v>
      </c>
      <c r="E430" s="71">
        <f>SUM(E431:E443)</f>
        <v>265</v>
      </c>
      <c r="F430" s="74">
        <f t="shared" si="194"/>
        <v>55565</v>
      </c>
      <c r="G430" s="74">
        <f>SUM(G431:G443)</f>
        <v>-15200</v>
      </c>
      <c r="H430" s="74">
        <f t="shared" ref="H430:H443" si="205">+G430+F430</f>
        <v>40365</v>
      </c>
      <c r="I430" s="71">
        <f>SUM(I431:I443)</f>
        <v>27156</v>
      </c>
      <c r="J430" s="73">
        <f>SUM(J431:J443)</f>
        <v>55750</v>
      </c>
      <c r="K430" s="73">
        <f t="shared" ref="K430:L430" si="206">SUM(K431:K443)</f>
        <v>-7500</v>
      </c>
      <c r="L430" s="166">
        <f t="shared" si="206"/>
        <v>48250</v>
      </c>
      <c r="M430" s="166">
        <f t="shared" ref="M430:N430" si="207">SUM(M431:M443)</f>
        <v>0</v>
      </c>
      <c r="N430" s="166">
        <f t="shared" si="207"/>
        <v>48250</v>
      </c>
      <c r="O430" s="166">
        <f>SUM(O431:O443)</f>
        <v>36003</v>
      </c>
      <c r="P430" s="141">
        <f>SUM(+P431+P432+P433+P434+P436+P437+P438+P440+P441+P442+P443+P439)</f>
        <v>50120</v>
      </c>
      <c r="Q430" s="87">
        <f t="shared" si="190"/>
        <v>3.8756476683937821E-2</v>
      </c>
      <c r="R430" s="88"/>
    </row>
    <row r="431" spans="1:25" ht="14.1" customHeight="1" x14ac:dyDescent="0.2">
      <c r="A431" s="89"/>
      <c r="B431" s="90" t="s">
        <v>105</v>
      </c>
      <c r="C431" s="72" t="s">
        <v>115</v>
      </c>
      <c r="D431" s="102">
        <v>700</v>
      </c>
      <c r="E431" s="71"/>
      <c r="F431" s="74">
        <f t="shared" si="194"/>
        <v>700</v>
      </c>
      <c r="G431" s="74"/>
      <c r="H431" s="74">
        <f t="shared" si="205"/>
        <v>700</v>
      </c>
      <c r="I431" s="71">
        <v>1116</v>
      </c>
      <c r="J431" s="73">
        <v>1950</v>
      </c>
      <c r="K431" s="74"/>
      <c r="L431" s="74">
        <f t="shared" ref="L431:L443" si="208">+K431+J431</f>
        <v>1950</v>
      </c>
      <c r="M431" s="74"/>
      <c r="N431" s="74">
        <f t="shared" ref="N431:N446" si="209">+M431+L431</f>
        <v>1950</v>
      </c>
      <c r="O431" s="74">
        <v>823</v>
      </c>
      <c r="P431" s="67">
        <v>1320</v>
      </c>
      <c r="Q431" s="87">
        <f t="shared" si="190"/>
        <v>-0.32307692307692309</v>
      </c>
      <c r="R431" s="88"/>
    </row>
    <row r="432" spans="1:25" ht="14.1" customHeight="1" x14ac:dyDescent="0.2">
      <c r="A432" s="89"/>
      <c r="B432" s="90">
        <v>5503</v>
      </c>
      <c r="C432" s="72" t="s">
        <v>107</v>
      </c>
      <c r="D432" s="102">
        <v>2000</v>
      </c>
      <c r="E432" s="71"/>
      <c r="F432" s="74">
        <f t="shared" si="194"/>
        <v>2000</v>
      </c>
      <c r="G432" s="74"/>
      <c r="H432" s="74">
        <f t="shared" si="205"/>
        <v>2000</v>
      </c>
      <c r="I432" s="71">
        <v>0</v>
      </c>
      <c r="J432" s="73">
        <v>1200</v>
      </c>
      <c r="K432" s="74"/>
      <c r="L432" s="74">
        <f t="shared" si="208"/>
        <v>1200</v>
      </c>
      <c r="M432" s="74"/>
      <c r="N432" s="74">
        <f t="shared" si="209"/>
        <v>1200</v>
      </c>
      <c r="O432" s="74">
        <v>405</v>
      </c>
      <c r="P432" s="67">
        <v>1200</v>
      </c>
      <c r="Q432" s="87">
        <f t="shared" si="190"/>
        <v>0</v>
      </c>
      <c r="R432" s="88"/>
    </row>
    <row r="433" spans="1:20" ht="14.1" customHeight="1" x14ac:dyDescent="0.2">
      <c r="A433" s="89"/>
      <c r="B433" s="90" t="s">
        <v>108</v>
      </c>
      <c r="C433" s="72" t="s">
        <v>118</v>
      </c>
      <c r="D433" s="102">
        <v>1900</v>
      </c>
      <c r="E433" s="71"/>
      <c r="F433" s="74">
        <f t="shared" si="194"/>
        <v>1900</v>
      </c>
      <c r="G433" s="74"/>
      <c r="H433" s="74">
        <f t="shared" si="205"/>
        <v>1900</v>
      </c>
      <c r="I433" s="71">
        <v>733</v>
      </c>
      <c r="J433" s="73">
        <v>2000</v>
      </c>
      <c r="K433" s="74"/>
      <c r="L433" s="74">
        <f t="shared" si="208"/>
        <v>2000</v>
      </c>
      <c r="M433" s="74"/>
      <c r="N433" s="74">
        <f t="shared" si="209"/>
        <v>2000</v>
      </c>
      <c r="O433" s="74">
        <v>1018</v>
      </c>
      <c r="P433" s="67">
        <v>1200</v>
      </c>
      <c r="Q433" s="87">
        <f t="shared" si="190"/>
        <v>-0.4</v>
      </c>
      <c r="R433" s="88"/>
    </row>
    <row r="434" spans="1:20" ht="14.1" customHeight="1" x14ac:dyDescent="0.2">
      <c r="A434" s="89"/>
      <c r="B434" s="90">
        <v>5511</v>
      </c>
      <c r="C434" s="72" t="s">
        <v>222</v>
      </c>
      <c r="D434" s="102"/>
      <c r="E434" s="71"/>
      <c r="F434" s="74"/>
      <c r="G434" s="74"/>
      <c r="H434" s="74"/>
      <c r="I434" s="71"/>
      <c r="J434" s="73"/>
      <c r="K434" s="74"/>
      <c r="L434" s="74"/>
      <c r="M434" s="74"/>
      <c r="N434" s="74"/>
      <c r="O434" s="74">
        <v>0</v>
      </c>
      <c r="P434" s="67">
        <f>P435</f>
        <v>3200</v>
      </c>
      <c r="Q434" s="87">
        <v>1</v>
      </c>
      <c r="R434" s="88"/>
    </row>
    <row r="435" spans="1:20" ht="14.1" customHeight="1" x14ac:dyDescent="0.2">
      <c r="A435" s="89"/>
      <c r="B435" s="90"/>
      <c r="C435" s="154" t="s">
        <v>229</v>
      </c>
      <c r="D435" s="102"/>
      <c r="E435" s="71"/>
      <c r="F435" s="74"/>
      <c r="G435" s="74"/>
      <c r="H435" s="74"/>
      <c r="I435" s="71"/>
      <c r="J435" s="73"/>
      <c r="K435" s="74"/>
      <c r="L435" s="74"/>
      <c r="M435" s="74"/>
      <c r="N435" s="74"/>
      <c r="O435" s="74"/>
      <c r="P435" s="155">
        <v>3200</v>
      </c>
      <c r="Q435" s="87">
        <v>1</v>
      </c>
      <c r="R435" s="88" t="s">
        <v>1600</v>
      </c>
    </row>
    <row r="436" spans="1:20" ht="14.1" customHeight="1" x14ac:dyDescent="0.2">
      <c r="A436" s="89"/>
      <c r="B436" s="90" t="s">
        <v>129</v>
      </c>
      <c r="C436" s="72" t="s">
        <v>130</v>
      </c>
      <c r="D436" s="102">
        <v>12000</v>
      </c>
      <c r="E436" s="71"/>
      <c r="F436" s="74">
        <f t="shared" si="194"/>
        <v>12000</v>
      </c>
      <c r="G436" s="74"/>
      <c r="H436" s="74">
        <f t="shared" si="205"/>
        <v>12000</v>
      </c>
      <c r="I436" s="71">
        <v>10873</v>
      </c>
      <c r="J436" s="73">
        <v>12000</v>
      </c>
      <c r="K436" s="74"/>
      <c r="L436" s="74">
        <f t="shared" si="208"/>
        <v>12000</v>
      </c>
      <c r="M436" s="74"/>
      <c r="N436" s="74">
        <f t="shared" si="209"/>
        <v>12000</v>
      </c>
      <c r="O436" s="74">
        <v>11540</v>
      </c>
      <c r="P436" s="67">
        <v>14400</v>
      </c>
      <c r="Q436" s="87">
        <f t="shared" si="190"/>
        <v>0.2</v>
      </c>
      <c r="R436" s="88" t="s">
        <v>824</v>
      </c>
    </row>
    <row r="437" spans="1:20" ht="14.1" customHeight="1" x14ac:dyDescent="0.2">
      <c r="A437" s="89"/>
      <c r="B437" s="90" t="s">
        <v>131</v>
      </c>
      <c r="C437" s="72" t="s">
        <v>112</v>
      </c>
      <c r="D437" s="102">
        <v>700</v>
      </c>
      <c r="E437" s="71"/>
      <c r="F437" s="74">
        <f t="shared" si="194"/>
        <v>700</v>
      </c>
      <c r="G437" s="74"/>
      <c r="H437" s="74">
        <f t="shared" si="205"/>
        <v>700</v>
      </c>
      <c r="I437" s="71">
        <v>425</v>
      </c>
      <c r="J437" s="73">
        <v>800</v>
      </c>
      <c r="K437" s="74"/>
      <c r="L437" s="74">
        <f t="shared" si="208"/>
        <v>800</v>
      </c>
      <c r="M437" s="74"/>
      <c r="N437" s="74">
        <f t="shared" si="209"/>
        <v>800</v>
      </c>
      <c r="O437" s="74">
        <v>921</v>
      </c>
      <c r="P437" s="67">
        <v>1000</v>
      </c>
      <c r="Q437" s="87">
        <f t="shared" si="190"/>
        <v>0.25</v>
      </c>
      <c r="R437" s="88"/>
    </row>
    <row r="438" spans="1:20" ht="14.1" customHeight="1" x14ac:dyDescent="0.2">
      <c r="A438" s="89"/>
      <c r="B438" s="90" t="s">
        <v>132</v>
      </c>
      <c r="C438" s="72" t="s">
        <v>133</v>
      </c>
      <c r="D438" s="102">
        <v>12000</v>
      </c>
      <c r="E438" s="71"/>
      <c r="F438" s="74">
        <f t="shared" si="194"/>
        <v>12000</v>
      </c>
      <c r="G438" s="74"/>
      <c r="H438" s="74">
        <f t="shared" si="205"/>
        <v>12000</v>
      </c>
      <c r="I438" s="71">
        <v>3115</v>
      </c>
      <c r="J438" s="73">
        <v>12000</v>
      </c>
      <c r="K438" s="74"/>
      <c r="L438" s="74">
        <f t="shared" si="208"/>
        <v>12000</v>
      </c>
      <c r="M438" s="74"/>
      <c r="N438" s="74">
        <f t="shared" si="209"/>
        <v>12000</v>
      </c>
      <c r="O438" s="74">
        <v>1170</v>
      </c>
      <c r="P438" s="67">
        <v>4500</v>
      </c>
      <c r="Q438" s="87">
        <f t="shared" si="190"/>
        <v>-0.625</v>
      </c>
      <c r="R438" s="88" t="s">
        <v>825</v>
      </c>
    </row>
    <row r="439" spans="1:20" ht="14.1" customHeight="1" x14ac:dyDescent="0.2">
      <c r="A439" s="89"/>
      <c r="B439" s="90">
        <v>5521</v>
      </c>
      <c r="C439" s="72" t="s">
        <v>263</v>
      </c>
      <c r="D439" s="102"/>
      <c r="E439" s="71"/>
      <c r="F439" s="74"/>
      <c r="G439" s="74"/>
      <c r="H439" s="74"/>
      <c r="I439" s="71"/>
      <c r="J439" s="73"/>
      <c r="K439" s="74"/>
      <c r="L439" s="74"/>
      <c r="M439" s="74"/>
      <c r="N439" s="74"/>
      <c r="O439" s="74">
        <v>102</v>
      </c>
      <c r="P439" s="67">
        <v>0</v>
      </c>
      <c r="Q439" s="87"/>
      <c r="R439" s="88"/>
    </row>
    <row r="440" spans="1:20" ht="14.1" customHeight="1" x14ac:dyDescent="0.2">
      <c r="A440" s="89"/>
      <c r="B440" s="90">
        <v>5522</v>
      </c>
      <c r="C440" s="72" t="s">
        <v>137</v>
      </c>
      <c r="D440" s="102">
        <v>0</v>
      </c>
      <c r="E440" s="71"/>
      <c r="F440" s="74">
        <f t="shared" si="194"/>
        <v>0</v>
      </c>
      <c r="G440" s="74"/>
      <c r="H440" s="74">
        <f t="shared" si="205"/>
        <v>0</v>
      </c>
      <c r="I440" s="71">
        <v>129</v>
      </c>
      <c r="J440" s="73">
        <v>800</v>
      </c>
      <c r="K440" s="74"/>
      <c r="L440" s="74">
        <f t="shared" si="208"/>
        <v>800</v>
      </c>
      <c r="M440" s="74"/>
      <c r="N440" s="74">
        <f t="shared" si="209"/>
        <v>800</v>
      </c>
      <c r="O440" s="74">
        <v>287</v>
      </c>
      <c r="P440" s="67">
        <v>300</v>
      </c>
      <c r="Q440" s="87">
        <f t="shared" si="190"/>
        <v>-0.625</v>
      </c>
      <c r="R440" s="88"/>
    </row>
    <row r="441" spans="1:20" ht="14.1" customHeight="1" x14ac:dyDescent="0.2">
      <c r="A441" s="89"/>
      <c r="B441" s="90" t="s">
        <v>138</v>
      </c>
      <c r="C441" s="72" t="s">
        <v>139</v>
      </c>
      <c r="D441" s="102">
        <v>3000</v>
      </c>
      <c r="E441" s="71"/>
      <c r="F441" s="74">
        <f t="shared" si="194"/>
        <v>3000</v>
      </c>
      <c r="G441" s="74"/>
      <c r="H441" s="74">
        <f t="shared" si="205"/>
        <v>3000</v>
      </c>
      <c r="I441" s="71">
        <v>5370</v>
      </c>
      <c r="J441" s="73">
        <v>5000</v>
      </c>
      <c r="K441" s="74"/>
      <c r="L441" s="74">
        <f t="shared" si="208"/>
        <v>5000</v>
      </c>
      <c r="M441" s="74"/>
      <c r="N441" s="74">
        <f t="shared" si="209"/>
        <v>5000</v>
      </c>
      <c r="O441" s="74">
        <v>2423</v>
      </c>
      <c r="P441" s="67">
        <v>7000</v>
      </c>
      <c r="Q441" s="87">
        <f t="shared" si="190"/>
        <v>0.4</v>
      </c>
      <c r="R441" s="88"/>
    </row>
    <row r="442" spans="1:20" ht="14.1" customHeight="1" x14ac:dyDescent="0.2">
      <c r="A442" s="89"/>
      <c r="B442" s="90">
        <v>5532</v>
      </c>
      <c r="C442" s="72" t="s">
        <v>826</v>
      </c>
      <c r="D442" s="102"/>
      <c r="E442" s="71"/>
      <c r="F442" s="74"/>
      <c r="G442" s="74"/>
      <c r="H442" s="74"/>
      <c r="I442" s="71"/>
      <c r="J442" s="73"/>
      <c r="K442" s="74"/>
      <c r="L442" s="74"/>
      <c r="M442" s="74"/>
      <c r="N442" s="74"/>
      <c r="O442" s="74"/>
      <c r="P442" s="67">
        <v>1000</v>
      </c>
      <c r="Q442" s="87">
        <v>1</v>
      </c>
      <c r="R442" s="88" t="s">
        <v>1601</v>
      </c>
    </row>
    <row r="443" spans="1:20" ht="14.1" customHeight="1" x14ac:dyDescent="0.2">
      <c r="A443" s="89"/>
      <c r="B443" s="90" t="s">
        <v>164</v>
      </c>
      <c r="C443" s="72" t="s">
        <v>193</v>
      </c>
      <c r="D443" s="102">
        <v>23000</v>
      </c>
      <c r="E443" s="71">
        <v>265</v>
      </c>
      <c r="F443" s="74">
        <f t="shared" ref="F443:F459" si="210">+E443+D443</f>
        <v>23265</v>
      </c>
      <c r="G443" s="74">
        <v>-15200</v>
      </c>
      <c r="H443" s="74">
        <f t="shared" si="205"/>
        <v>8065</v>
      </c>
      <c r="I443" s="71">
        <v>5395</v>
      </c>
      <c r="J443" s="73">
        <v>20000</v>
      </c>
      <c r="K443" s="74">
        <v>-7500</v>
      </c>
      <c r="L443" s="74">
        <f t="shared" si="208"/>
        <v>12500</v>
      </c>
      <c r="M443" s="74"/>
      <c r="N443" s="74">
        <f t="shared" si="209"/>
        <v>12500</v>
      </c>
      <c r="O443" s="74">
        <v>17314</v>
      </c>
      <c r="P443" s="67">
        <v>15000</v>
      </c>
      <c r="Q443" s="87">
        <f t="shared" si="190"/>
        <v>0.2</v>
      </c>
      <c r="R443" s="88" t="s">
        <v>1435</v>
      </c>
    </row>
    <row r="444" spans="1:20" ht="14.1" customHeight="1" x14ac:dyDescent="0.2">
      <c r="A444" s="164" t="s">
        <v>668</v>
      </c>
      <c r="B444" s="147"/>
      <c r="C444" s="148" t="s">
        <v>235</v>
      </c>
      <c r="D444" s="149">
        <v>103000</v>
      </c>
      <c r="E444" s="151">
        <v>7670</v>
      </c>
      <c r="F444" s="137">
        <f t="shared" si="210"/>
        <v>110670</v>
      </c>
      <c r="G444" s="137">
        <v>0</v>
      </c>
      <c r="H444" s="137">
        <v>110670</v>
      </c>
      <c r="I444" s="151">
        <v>110670</v>
      </c>
      <c r="J444" s="189">
        <v>121000</v>
      </c>
      <c r="K444" s="137">
        <v>-6000</v>
      </c>
      <c r="L444" s="137">
        <f>+L445</f>
        <v>115000</v>
      </c>
      <c r="M444" s="137">
        <f t="shared" ref="M444:P444" si="211">+M445</f>
        <v>-35000</v>
      </c>
      <c r="N444" s="152">
        <f t="shared" si="211"/>
        <v>80000</v>
      </c>
      <c r="O444" s="152">
        <f t="shared" si="211"/>
        <v>55650</v>
      </c>
      <c r="P444" s="152">
        <f t="shared" si="211"/>
        <v>93000</v>
      </c>
      <c r="Q444" s="87">
        <f t="shared" si="190"/>
        <v>0.16250000000000001</v>
      </c>
      <c r="R444" s="88"/>
    </row>
    <row r="445" spans="1:20" ht="14.1" customHeight="1" x14ac:dyDescent="0.2">
      <c r="A445" s="56"/>
      <c r="B445" s="95">
        <v>45</v>
      </c>
      <c r="C445" s="96" t="s">
        <v>242</v>
      </c>
      <c r="D445" s="56"/>
      <c r="E445" s="56"/>
      <c r="I445" s="56"/>
      <c r="J445" s="56"/>
      <c r="K445" s="196"/>
      <c r="L445" s="196">
        <v>115000</v>
      </c>
      <c r="M445" s="169">
        <v>-35000</v>
      </c>
      <c r="N445" s="197">
        <f>+L445+M445</f>
        <v>80000</v>
      </c>
      <c r="O445" s="197">
        <v>55650</v>
      </c>
      <c r="P445" s="142">
        <v>93000</v>
      </c>
      <c r="Q445" s="87">
        <f t="shared" si="190"/>
        <v>0.16250000000000001</v>
      </c>
      <c r="R445" s="88" t="s">
        <v>828</v>
      </c>
      <c r="T445" s="171" t="s">
        <v>1357</v>
      </c>
    </row>
    <row r="446" spans="1:20" ht="14.1" customHeight="1" x14ac:dyDescent="0.2">
      <c r="A446" s="164" t="s">
        <v>666</v>
      </c>
      <c r="B446" s="147"/>
      <c r="C446" s="148" t="s">
        <v>236</v>
      </c>
      <c r="D446" s="149">
        <v>41490</v>
      </c>
      <c r="E446" s="151"/>
      <c r="F446" s="137">
        <f t="shared" si="210"/>
        <v>41490</v>
      </c>
      <c r="G446" s="137">
        <v>0</v>
      </c>
      <c r="H446" s="137">
        <f>+G446+F446</f>
        <v>41490</v>
      </c>
      <c r="I446" s="151">
        <f>+I447+I448</f>
        <v>27251.24</v>
      </c>
      <c r="J446" s="152">
        <f>+J447+J448</f>
        <v>52636</v>
      </c>
      <c r="K446" s="152">
        <f>+K447+K448</f>
        <v>-1000</v>
      </c>
      <c r="L446" s="152">
        <f>+L447+L448</f>
        <v>51636</v>
      </c>
      <c r="M446" s="152"/>
      <c r="N446" s="152">
        <f t="shared" si="209"/>
        <v>51636</v>
      </c>
      <c r="O446" s="152">
        <f>O447+O448</f>
        <v>40975</v>
      </c>
      <c r="P446" s="152">
        <f>P447+P448</f>
        <v>62864</v>
      </c>
      <c r="Q446" s="87">
        <f t="shared" si="190"/>
        <v>0.21744519327600897</v>
      </c>
      <c r="R446" s="88"/>
    </row>
    <row r="447" spans="1:20" ht="14.1" customHeight="1" x14ac:dyDescent="0.2">
      <c r="A447" s="181"/>
      <c r="B447" s="177">
        <v>50</v>
      </c>
      <c r="C447" s="178" t="s">
        <v>102</v>
      </c>
      <c r="D447" s="43">
        <v>20875</v>
      </c>
      <c r="E447" s="71"/>
      <c r="F447" s="74">
        <f t="shared" si="210"/>
        <v>20875</v>
      </c>
      <c r="G447" s="74"/>
      <c r="H447" s="74">
        <f>+G447+F447</f>
        <v>20875</v>
      </c>
      <c r="I447" s="71">
        <v>17641</v>
      </c>
      <c r="J447" s="73">
        <v>23586</v>
      </c>
      <c r="K447" s="74"/>
      <c r="L447" s="140">
        <v>23586</v>
      </c>
      <c r="M447" s="140"/>
      <c r="N447" s="198">
        <f>+L447+M447</f>
        <v>23586</v>
      </c>
      <c r="O447" s="198">
        <v>19217</v>
      </c>
      <c r="P447" s="67">
        <v>29100</v>
      </c>
      <c r="Q447" s="87">
        <f t="shared" si="190"/>
        <v>0.23378275248028491</v>
      </c>
      <c r="R447" s="88" t="s">
        <v>829</v>
      </c>
    </row>
    <row r="448" spans="1:20" ht="14.1" customHeight="1" x14ac:dyDescent="0.2">
      <c r="A448" s="181"/>
      <c r="B448" s="177">
        <v>55</v>
      </c>
      <c r="C448" s="178" t="s">
        <v>104</v>
      </c>
      <c r="D448" s="43">
        <v>20615</v>
      </c>
      <c r="E448" s="71"/>
      <c r="F448" s="74">
        <f t="shared" si="210"/>
        <v>20615</v>
      </c>
      <c r="G448" s="74"/>
      <c r="H448" s="74">
        <f t="shared" ref="H448:H468" si="212">+G448+F448</f>
        <v>20615</v>
      </c>
      <c r="I448" s="71">
        <f>+I449+I452+I463+I464+I465+I467+I468+I469</f>
        <v>9610.2400000000016</v>
      </c>
      <c r="J448" s="73">
        <f>+J449+J452+J463+J464+J465+J467+J468+J469</f>
        <v>29050</v>
      </c>
      <c r="K448" s="73">
        <f>+K449+K452+K463+K464+K465+K467+K468+K469</f>
        <v>-1000</v>
      </c>
      <c r="L448" s="166">
        <f>+L449+L463+L464+L465+L467+L468+L469+L452</f>
        <v>28050</v>
      </c>
      <c r="M448" s="166">
        <f>+M449+M463+M464+M465+M467+M468+M469+M452</f>
        <v>0</v>
      </c>
      <c r="N448" s="166">
        <f>+N449+N463+N464+N465+N467+N468+N469+N452</f>
        <v>28050</v>
      </c>
      <c r="O448" s="166">
        <f>+O449+O463+O464+O465+O467+O468+O469+O452+O466+O470</f>
        <v>21758</v>
      </c>
      <c r="P448" s="141">
        <f>+P449+P463+P464+P465+P467+P468+P469+P452+P450+P451+P462+P466+P470</f>
        <v>33764</v>
      </c>
      <c r="Q448" s="87">
        <f t="shared" si="190"/>
        <v>0.20370766488413547</v>
      </c>
      <c r="R448" s="88"/>
    </row>
    <row r="449" spans="1:25" ht="14.1" customHeight="1" x14ac:dyDescent="0.2">
      <c r="A449" s="181"/>
      <c r="B449" s="174">
        <v>5500</v>
      </c>
      <c r="C449" s="103" t="s">
        <v>237</v>
      </c>
      <c r="D449" s="102">
        <v>150</v>
      </c>
      <c r="E449" s="71"/>
      <c r="F449" s="74">
        <f t="shared" si="210"/>
        <v>150</v>
      </c>
      <c r="G449" s="74"/>
      <c r="H449" s="74">
        <f t="shared" si="212"/>
        <v>150</v>
      </c>
      <c r="I449" s="71">
        <v>15</v>
      </c>
      <c r="J449" s="73">
        <v>150</v>
      </c>
      <c r="K449" s="74"/>
      <c r="L449" s="74">
        <v>150</v>
      </c>
      <c r="M449" s="74"/>
      <c r="N449" s="73">
        <f t="shared" ref="N449" si="213">+M449+L449</f>
        <v>150</v>
      </c>
      <c r="O449" s="73">
        <v>0</v>
      </c>
      <c r="P449" s="67">
        <v>100</v>
      </c>
      <c r="Q449" s="87">
        <f t="shared" si="190"/>
        <v>-0.33333333333333331</v>
      </c>
      <c r="R449" s="88"/>
    </row>
    <row r="450" spans="1:25" ht="14.1" customHeight="1" x14ac:dyDescent="0.2">
      <c r="A450" s="181"/>
      <c r="B450" s="90">
        <v>5503</v>
      </c>
      <c r="C450" s="72" t="s">
        <v>107</v>
      </c>
      <c r="D450" s="102"/>
      <c r="E450" s="71"/>
      <c r="F450" s="74"/>
      <c r="G450" s="74"/>
      <c r="H450" s="74"/>
      <c r="I450" s="71"/>
      <c r="J450" s="73"/>
      <c r="K450" s="73"/>
      <c r="L450" s="73"/>
      <c r="M450" s="73"/>
      <c r="N450" s="73"/>
      <c r="O450" s="73"/>
      <c r="P450" s="67">
        <v>150</v>
      </c>
      <c r="Q450" s="87"/>
      <c r="R450" s="88"/>
    </row>
    <row r="451" spans="1:25" ht="14.1" customHeight="1" x14ac:dyDescent="0.2">
      <c r="A451" s="181"/>
      <c r="B451" s="90" t="s">
        <v>108</v>
      </c>
      <c r="C451" s="72" t="s">
        <v>118</v>
      </c>
      <c r="D451" s="102"/>
      <c r="E451" s="71"/>
      <c r="F451" s="74"/>
      <c r="G451" s="74"/>
      <c r="H451" s="74"/>
      <c r="I451" s="71"/>
      <c r="J451" s="73"/>
      <c r="K451" s="73"/>
      <c r="L451" s="73"/>
      <c r="M451" s="73"/>
      <c r="N451" s="73"/>
      <c r="O451" s="73"/>
      <c r="P451" s="67">
        <v>150</v>
      </c>
      <c r="Q451" s="87"/>
      <c r="R451" s="88"/>
    </row>
    <row r="452" spans="1:25" ht="14.1" customHeight="1" x14ac:dyDescent="0.2">
      <c r="A452" s="181"/>
      <c r="B452" s="174">
        <v>5511</v>
      </c>
      <c r="C452" s="72" t="s">
        <v>110</v>
      </c>
      <c r="D452" s="102">
        <v>18900</v>
      </c>
      <c r="E452" s="71"/>
      <c r="F452" s="74">
        <f t="shared" si="210"/>
        <v>18900</v>
      </c>
      <c r="G452" s="74"/>
      <c r="H452" s="74">
        <f t="shared" si="212"/>
        <v>18900</v>
      </c>
      <c r="I452" s="71">
        <f>SUM(I453:I461)</f>
        <v>8862.2400000000016</v>
      </c>
      <c r="J452" s="73">
        <f>SUM(J453:J461)</f>
        <v>21500</v>
      </c>
      <c r="K452" s="73">
        <f t="shared" ref="K452:L452" si="214">SUM(K453:K461)</f>
        <v>0</v>
      </c>
      <c r="L452" s="73">
        <f t="shared" si="214"/>
        <v>21500</v>
      </c>
      <c r="M452" s="73">
        <f>SUM(M453:M461)</f>
        <v>0</v>
      </c>
      <c r="N452" s="73">
        <f t="shared" ref="N452:O452" si="215">SUM(N453:N461)</f>
        <v>21500</v>
      </c>
      <c r="O452" s="73">
        <f t="shared" si="215"/>
        <v>16862</v>
      </c>
      <c r="P452" s="67">
        <f>SUM(P453:P461)</f>
        <v>25844</v>
      </c>
      <c r="Q452" s="87">
        <f t="shared" si="190"/>
        <v>0.20204651162790699</v>
      </c>
      <c r="R452" s="88"/>
    </row>
    <row r="453" spans="1:25" s="49" customFormat="1" ht="14.1" customHeight="1" x14ac:dyDescent="0.2">
      <c r="A453" s="199"/>
      <c r="B453" s="192"/>
      <c r="C453" s="154" t="s">
        <v>224</v>
      </c>
      <c r="D453" s="157">
        <v>12500</v>
      </c>
      <c r="E453" s="158"/>
      <c r="F453" s="74">
        <f t="shared" si="210"/>
        <v>12500</v>
      </c>
      <c r="G453" s="74"/>
      <c r="H453" s="153">
        <f t="shared" si="212"/>
        <v>12500</v>
      </c>
      <c r="I453" s="154">
        <v>6319.17</v>
      </c>
      <c r="J453" s="159">
        <v>12500</v>
      </c>
      <c r="K453" s="153"/>
      <c r="L453" s="153">
        <v>12500</v>
      </c>
      <c r="M453" s="153"/>
      <c r="N453" s="159">
        <f>+L453+M453</f>
        <v>12500</v>
      </c>
      <c r="O453" s="159">
        <v>9035</v>
      </c>
      <c r="P453" s="155">
        <v>18000</v>
      </c>
      <c r="Q453" s="87">
        <f t="shared" si="190"/>
        <v>0.44</v>
      </c>
      <c r="R453" s="88"/>
      <c r="S453" s="56"/>
      <c r="T453" s="56"/>
      <c r="U453" s="56"/>
      <c r="V453" s="56"/>
      <c r="W453" s="56"/>
      <c r="X453" s="56"/>
      <c r="Y453" s="56"/>
    </row>
    <row r="454" spans="1:25" s="49" customFormat="1" ht="14.1" customHeight="1" x14ac:dyDescent="0.2">
      <c r="A454" s="199"/>
      <c r="B454" s="192"/>
      <c r="C454" s="154" t="s">
        <v>225</v>
      </c>
      <c r="D454" s="157">
        <v>500</v>
      </c>
      <c r="E454" s="158"/>
      <c r="F454" s="74">
        <f t="shared" si="210"/>
        <v>500</v>
      </c>
      <c r="G454" s="74"/>
      <c r="H454" s="153">
        <f t="shared" si="212"/>
        <v>500</v>
      </c>
      <c r="I454" s="154">
        <v>199.89</v>
      </c>
      <c r="J454" s="159">
        <v>650</v>
      </c>
      <c r="K454" s="153"/>
      <c r="L454" s="153">
        <v>650</v>
      </c>
      <c r="M454" s="153"/>
      <c r="N454" s="159">
        <f t="shared" ref="N454:N461" si="216">+L454+M454</f>
        <v>650</v>
      </c>
      <c r="O454" s="159">
        <v>270</v>
      </c>
      <c r="P454" s="155">
        <v>500</v>
      </c>
      <c r="Q454" s="87">
        <f t="shared" si="190"/>
        <v>-0.23076923076923078</v>
      </c>
      <c r="R454" s="88"/>
      <c r="S454" s="56"/>
      <c r="T454" s="56"/>
      <c r="U454" s="56"/>
      <c r="V454" s="56"/>
      <c r="W454" s="56"/>
      <c r="X454" s="56"/>
      <c r="Y454" s="56"/>
    </row>
    <row r="455" spans="1:25" s="49" customFormat="1" ht="14.1" customHeight="1" x14ac:dyDescent="0.2">
      <c r="A455" s="199"/>
      <c r="B455" s="192"/>
      <c r="C455" s="154" t="s">
        <v>226</v>
      </c>
      <c r="D455" s="157">
        <v>3150</v>
      </c>
      <c r="E455" s="158"/>
      <c r="F455" s="74">
        <f t="shared" si="210"/>
        <v>3150</v>
      </c>
      <c r="G455" s="74"/>
      <c r="H455" s="153">
        <f t="shared" si="212"/>
        <v>3150</v>
      </c>
      <c r="I455" s="154">
        <v>684.18</v>
      </c>
      <c r="J455" s="159">
        <v>3000</v>
      </c>
      <c r="K455" s="153"/>
      <c r="L455" s="153">
        <v>3000</v>
      </c>
      <c r="M455" s="153"/>
      <c r="N455" s="159">
        <f t="shared" si="216"/>
        <v>3000</v>
      </c>
      <c r="O455" s="159">
        <v>720</v>
      </c>
      <c r="P455" s="155">
        <v>1000</v>
      </c>
      <c r="Q455" s="87">
        <f t="shared" si="190"/>
        <v>-0.66666666666666663</v>
      </c>
      <c r="R455" s="88"/>
      <c r="S455" s="56"/>
      <c r="T455" s="56"/>
      <c r="U455" s="56"/>
      <c r="V455" s="56"/>
      <c r="W455" s="56"/>
      <c r="X455" s="56"/>
      <c r="Y455" s="56"/>
    </row>
    <row r="456" spans="1:25" s="49" customFormat="1" ht="14.1" customHeight="1" x14ac:dyDescent="0.2">
      <c r="A456" s="199"/>
      <c r="B456" s="192"/>
      <c r="C456" s="154" t="s">
        <v>227</v>
      </c>
      <c r="D456" s="157">
        <v>500</v>
      </c>
      <c r="E456" s="158"/>
      <c r="F456" s="74">
        <f t="shared" si="210"/>
        <v>500</v>
      </c>
      <c r="G456" s="74"/>
      <c r="H456" s="153">
        <f t="shared" si="212"/>
        <v>500</v>
      </c>
      <c r="I456" s="154">
        <v>498</v>
      </c>
      <c r="J456" s="159">
        <v>550</v>
      </c>
      <c r="K456" s="153"/>
      <c r="L456" s="153">
        <v>550</v>
      </c>
      <c r="M456" s="153"/>
      <c r="N456" s="159">
        <f t="shared" si="216"/>
        <v>550</v>
      </c>
      <c r="O456" s="159">
        <v>6467</v>
      </c>
      <c r="P456" s="155">
        <v>250</v>
      </c>
      <c r="Q456" s="87">
        <f t="shared" si="190"/>
        <v>-0.54545454545454541</v>
      </c>
      <c r="R456" s="88" t="s">
        <v>1571</v>
      </c>
      <c r="S456" s="56"/>
      <c r="T456" s="56"/>
      <c r="U456" s="56"/>
      <c r="V456" s="56"/>
      <c r="W456" s="56"/>
      <c r="X456" s="56"/>
      <c r="Y456" s="56"/>
    </row>
    <row r="457" spans="1:25" s="49" customFormat="1" ht="14.1" customHeight="1" x14ac:dyDescent="0.2">
      <c r="A457" s="199"/>
      <c r="B457" s="192"/>
      <c r="C457" s="154" t="s">
        <v>228</v>
      </c>
      <c r="D457" s="157">
        <v>350</v>
      </c>
      <c r="E457" s="158"/>
      <c r="F457" s="74">
        <f t="shared" si="210"/>
        <v>350</v>
      </c>
      <c r="G457" s="74"/>
      <c r="H457" s="153">
        <f t="shared" si="212"/>
        <v>350</v>
      </c>
      <c r="I457" s="154">
        <v>240</v>
      </c>
      <c r="J457" s="159">
        <v>350</v>
      </c>
      <c r="K457" s="153"/>
      <c r="L457" s="153">
        <v>350</v>
      </c>
      <c r="M457" s="153"/>
      <c r="N457" s="159">
        <f t="shared" si="216"/>
        <v>350</v>
      </c>
      <c r="O457" s="159">
        <v>216</v>
      </c>
      <c r="P457" s="155">
        <v>340</v>
      </c>
      <c r="Q457" s="87">
        <f t="shared" si="190"/>
        <v>-2.8571428571428571E-2</v>
      </c>
      <c r="R457" s="88"/>
      <c r="S457" s="56"/>
      <c r="T457" s="56"/>
      <c r="U457" s="56"/>
      <c r="V457" s="56"/>
      <c r="W457" s="56"/>
      <c r="X457" s="56"/>
    </row>
    <row r="458" spans="1:25" s="49" customFormat="1" ht="14.1" customHeight="1" x14ac:dyDescent="0.2">
      <c r="A458" s="199"/>
      <c r="B458" s="192"/>
      <c r="C458" s="154" t="s">
        <v>230</v>
      </c>
      <c r="D458" s="157">
        <v>1000</v>
      </c>
      <c r="E458" s="158"/>
      <c r="F458" s="74">
        <f t="shared" si="210"/>
        <v>1000</v>
      </c>
      <c r="G458" s="74"/>
      <c r="H458" s="153">
        <f t="shared" si="212"/>
        <v>1000</v>
      </c>
      <c r="I458" s="158"/>
      <c r="J458" s="159">
        <v>1500</v>
      </c>
      <c r="K458" s="153"/>
      <c r="L458" s="153">
        <v>1500</v>
      </c>
      <c r="M458" s="153"/>
      <c r="N458" s="159">
        <f t="shared" si="216"/>
        <v>1500</v>
      </c>
      <c r="O458" s="159"/>
      <c r="P458" s="155">
        <v>5000</v>
      </c>
      <c r="Q458" s="87">
        <f t="shared" si="190"/>
        <v>2.3333333333333335</v>
      </c>
      <c r="R458" s="88" t="s">
        <v>1602</v>
      </c>
      <c r="S458" s="56"/>
      <c r="T458" s="56"/>
      <c r="U458" s="56"/>
      <c r="V458" s="56"/>
      <c r="W458" s="56"/>
      <c r="X458" s="56"/>
    </row>
    <row r="459" spans="1:25" s="49" customFormat="1" ht="14.1" customHeight="1" x14ac:dyDescent="0.2">
      <c r="A459" s="199"/>
      <c r="B459" s="192"/>
      <c r="C459" s="154" t="s">
        <v>231</v>
      </c>
      <c r="D459" s="157">
        <v>900</v>
      </c>
      <c r="E459" s="158"/>
      <c r="F459" s="74">
        <f t="shared" si="210"/>
        <v>900</v>
      </c>
      <c r="G459" s="74"/>
      <c r="H459" s="153">
        <f t="shared" si="212"/>
        <v>900</v>
      </c>
      <c r="I459" s="158">
        <v>885</v>
      </c>
      <c r="J459" s="159">
        <v>900</v>
      </c>
      <c r="K459" s="153"/>
      <c r="L459" s="153">
        <v>900</v>
      </c>
      <c r="M459" s="153"/>
      <c r="N459" s="159">
        <f t="shared" si="216"/>
        <v>900</v>
      </c>
      <c r="O459" s="159">
        <v>154</v>
      </c>
      <c r="P459" s="155">
        <v>154</v>
      </c>
      <c r="Q459" s="87">
        <f t="shared" si="190"/>
        <v>-0.8288888888888889</v>
      </c>
      <c r="R459" s="88"/>
      <c r="S459" s="56"/>
      <c r="T459" s="56"/>
      <c r="U459" s="56"/>
      <c r="V459" s="56"/>
      <c r="W459" s="56"/>
      <c r="X459" s="56"/>
    </row>
    <row r="460" spans="1:25" s="49" customFormat="1" ht="14.1" customHeight="1" x14ac:dyDescent="0.2">
      <c r="A460" s="199"/>
      <c r="B460" s="192"/>
      <c r="C460" s="154" t="s">
        <v>238</v>
      </c>
      <c r="D460" s="157"/>
      <c r="E460" s="158"/>
      <c r="F460" s="74"/>
      <c r="G460" s="74"/>
      <c r="H460" s="153"/>
      <c r="I460" s="158"/>
      <c r="J460" s="159">
        <v>1250</v>
      </c>
      <c r="K460" s="153"/>
      <c r="L460" s="153">
        <v>1250</v>
      </c>
      <c r="M460" s="153"/>
      <c r="N460" s="159">
        <f t="shared" si="216"/>
        <v>1250</v>
      </c>
      <c r="O460" s="159"/>
      <c r="P460" s="155"/>
      <c r="Q460" s="87">
        <f t="shared" si="190"/>
        <v>-1</v>
      </c>
      <c r="R460" s="88"/>
      <c r="S460" s="56"/>
      <c r="T460" s="56"/>
      <c r="U460" s="56"/>
      <c r="V460" s="56"/>
      <c r="W460" s="56"/>
      <c r="X460" s="56"/>
    </row>
    <row r="461" spans="1:25" s="49" customFormat="1" ht="14.1" customHeight="1" x14ac:dyDescent="0.2">
      <c r="A461" s="199"/>
      <c r="B461" s="192"/>
      <c r="C461" s="154" t="s">
        <v>239</v>
      </c>
      <c r="D461" s="157"/>
      <c r="E461" s="158"/>
      <c r="F461" s="74"/>
      <c r="G461" s="74"/>
      <c r="H461" s="153"/>
      <c r="I461" s="158">
        <v>36</v>
      </c>
      <c r="J461" s="159">
        <v>800</v>
      </c>
      <c r="K461" s="153"/>
      <c r="L461" s="153">
        <v>800</v>
      </c>
      <c r="M461" s="153"/>
      <c r="N461" s="159">
        <f t="shared" si="216"/>
        <v>800</v>
      </c>
      <c r="O461" s="159"/>
      <c r="P461" s="155">
        <v>600</v>
      </c>
      <c r="Q461" s="87">
        <f t="shared" si="190"/>
        <v>-0.25</v>
      </c>
      <c r="R461" s="88"/>
      <c r="S461" s="56"/>
      <c r="T461" s="56"/>
      <c r="U461" s="56"/>
      <c r="V461" s="56"/>
      <c r="W461" s="56"/>
      <c r="X461" s="56"/>
    </row>
    <row r="462" spans="1:25" s="49" customFormat="1" ht="14.1" customHeight="1" x14ac:dyDescent="0.2">
      <c r="A462" s="199"/>
      <c r="B462" s="90">
        <v>5512</v>
      </c>
      <c r="C462" s="72" t="s">
        <v>822</v>
      </c>
      <c r="D462" s="157"/>
      <c r="E462" s="158"/>
      <c r="F462" s="74"/>
      <c r="G462" s="74"/>
      <c r="H462" s="153"/>
      <c r="I462" s="158"/>
      <c r="J462" s="159"/>
      <c r="K462" s="153"/>
      <c r="L462" s="153"/>
      <c r="M462" s="153"/>
      <c r="N462" s="159"/>
      <c r="O462" s="159"/>
      <c r="P462" s="67">
        <v>250</v>
      </c>
      <c r="Q462" s="87">
        <v>1</v>
      </c>
      <c r="R462" s="88" t="s">
        <v>836</v>
      </c>
      <c r="S462" s="56"/>
      <c r="T462" s="56"/>
      <c r="U462" s="56"/>
      <c r="V462" s="56"/>
      <c r="W462" s="56"/>
      <c r="X462" s="56"/>
    </row>
    <row r="463" spans="1:25" ht="14.1" customHeight="1" x14ac:dyDescent="0.2">
      <c r="A463" s="181"/>
      <c r="B463" s="174">
        <v>5514</v>
      </c>
      <c r="C463" s="72" t="s">
        <v>112</v>
      </c>
      <c r="D463" s="102"/>
      <c r="E463" s="71"/>
      <c r="F463" s="74"/>
      <c r="G463" s="74"/>
      <c r="H463" s="74"/>
      <c r="I463" s="71"/>
      <c r="J463" s="73">
        <v>250</v>
      </c>
      <c r="K463" s="74"/>
      <c r="L463" s="74">
        <v>250</v>
      </c>
      <c r="M463" s="74"/>
      <c r="N463" s="73">
        <f t="shared" ref="N463" si="217">+M463+L463</f>
        <v>250</v>
      </c>
      <c r="O463" s="73"/>
      <c r="P463" s="67">
        <v>0</v>
      </c>
      <c r="Q463" s="87">
        <f t="shared" si="190"/>
        <v>-1</v>
      </c>
      <c r="R463" s="88"/>
    </row>
    <row r="464" spans="1:25" ht="14.1" customHeight="1" x14ac:dyDescent="0.2">
      <c r="A464" s="181"/>
      <c r="B464" s="174">
        <v>5515</v>
      </c>
      <c r="C464" s="72" t="s">
        <v>133</v>
      </c>
      <c r="D464" s="102">
        <v>500</v>
      </c>
      <c r="E464" s="71"/>
      <c r="F464" s="74">
        <f>+E464+D464</f>
        <v>500</v>
      </c>
      <c r="G464" s="74"/>
      <c r="H464" s="74">
        <f t="shared" si="212"/>
        <v>500</v>
      </c>
      <c r="I464" s="71">
        <v>544</v>
      </c>
      <c r="J464" s="73">
        <v>2250</v>
      </c>
      <c r="K464" s="74">
        <v>-500</v>
      </c>
      <c r="L464" s="74">
        <f>+K464+J464</f>
        <v>1750</v>
      </c>
      <c r="M464" s="74"/>
      <c r="N464" s="73">
        <f t="shared" ref="N464:N468" si="218">+M464+L464</f>
        <v>1750</v>
      </c>
      <c r="O464" s="73"/>
      <c r="P464" s="67">
        <v>2000</v>
      </c>
      <c r="Q464" s="87">
        <f t="shared" si="190"/>
        <v>0.14285714285714285</v>
      </c>
      <c r="R464" s="88"/>
    </row>
    <row r="465" spans="1:25" ht="14.1" customHeight="1" x14ac:dyDescent="0.2">
      <c r="A465" s="181"/>
      <c r="B465" s="90">
        <v>5516</v>
      </c>
      <c r="C465" s="56" t="s">
        <v>210</v>
      </c>
      <c r="D465" s="102">
        <v>0</v>
      </c>
      <c r="E465" s="71"/>
      <c r="F465" s="74">
        <f>+E465+D465</f>
        <v>0</v>
      </c>
      <c r="G465" s="74"/>
      <c r="H465" s="74">
        <f t="shared" si="212"/>
        <v>0</v>
      </c>
      <c r="I465" s="71"/>
      <c r="J465" s="73">
        <v>1700</v>
      </c>
      <c r="K465" s="74"/>
      <c r="L465" s="74">
        <v>1700</v>
      </c>
      <c r="M465" s="74"/>
      <c r="N465" s="73">
        <f t="shared" si="218"/>
        <v>1700</v>
      </c>
      <c r="O465" s="73">
        <v>4274</v>
      </c>
      <c r="P465" s="67">
        <v>4000</v>
      </c>
      <c r="Q465" s="87">
        <f t="shared" si="190"/>
        <v>1.3529411764705883</v>
      </c>
      <c r="R465" s="88" t="s">
        <v>830</v>
      </c>
    </row>
    <row r="466" spans="1:25" ht="14.1" customHeight="1" x14ac:dyDescent="0.2">
      <c r="A466" s="181"/>
      <c r="B466" s="90">
        <v>5521</v>
      </c>
      <c r="C466" s="72" t="s">
        <v>263</v>
      </c>
      <c r="D466" s="102"/>
      <c r="E466" s="71"/>
      <c r="F466" s="74"/>
      <c r="G466" s="74"/>
      <c r="H466" s="74"/>
      <c r="I466" s="71"/>
      <c r="J466" s="73"/>
      <c r="K466" s="74"/>
      <c r="L466" s="74"/>
      <c r="M466" s="74"/>
      <c r="N466" s="73"/>
      <c r="O466" s="73"/>
      <c r="P466" s="67">
        <v>120</v>
      </c>
      <c r="Q466" s="87"/>
      <c r="R466" s="88"/>
    </row>
    <row r="467" spans="1:25" ht="14.1" customHeight="1" x14ac:dyDescent="0.2">
      <c r="A467" s="181"/>
      <c r="B467" s="174">
        <v>5522</v>
      </c>
      <c r="C467" s="72" t="s">
        <v>137</v>
      </c>
      <c r="D467" s="102">
        <v>65</v>
      </c>
      <c r="E467" s="71"/>
      <c r="F467" s="74">
        <f>+E467+D467</f>
        <v>65</v>
      </c>
      <c r="G467" s="74"/>
      <c r="H467" s="74">
        <f t="shared" si="212"/>
        <v>65</v>
      </c>
      <c r="I467" s="71"/>
      <c r="J467" s="73">
        <v>200</v>
      </c>
      <c r="K467" s="74"/>
      <c r="L467" s="74">
        <v>200</v>
      </c>
      <c r="M467" s="74"/>
      <c r="N467" s="74">
        <f t="shared" si="218"/>
        <v>200</v>
      </c>
      <c r="O467" s="74"/>
      <c r="P467" s="67">
        <v>100</v>
      </c>
      <c r="Q467" s="87">
        <f t="shared" si="190"/>
        <v>-0.5</v>
      </c>
      <c r="R467" s="88"/>
    </row>
    <row r="468" spans="1:25" ht="14.1" customHeight="1" x14ac:dyDescent="0.2">
      <c r="A468" s="181"/>
      <c r="B468" s="174">
        <v>5524</v>
      </c>
      <c r="C468" s="72" t="s">
        <v>240</v>
      </c>
      <c r="D468" s="102">
        <v>500</v>
      </c>
      <c r="E468" s="71"/>
      <c r="F468" s="74">
        <f>+E468+D468</f>
        <v>500</v>
      </c>
      <c r="G468" s="74"/>
      <c r="H468" s="74">
        <f t="shared" si="212"/>
        <v>500</v>
      </c>
      <c r="I468" s="71"/>
      <c r="J468" s="73">
        <v>500</v>
      </c>
      <c r="K468" s="74"/>
      <c r="L468" s="74">
        <v>500</v>
      </c>
      <c r="M468" s="74"/>
      <c r="N468" s="74">
        <f t="shared" si="218"/>
        <v>500</v>
      </c>
      <c r="O468" s="74"/>
      <c r="P468" s="67"/>
      <c r="Q468" s="87">
        <f t="shared" si="190"/>
        <v>-1</v>
      </c>
      <c r="R468" s="88"/>
    </row>
    <row r="469" spans="1:25" ht="14.1" customHeight="1" x14ac:dyDescent="0.2">
      <c r="A469" s="181"/>
      <c r="B469" s="174">
        <v>5525</v>
      </c>
      <c r="C469" s="72" t="s">
        <v>139</v>
      </c>
      <c r="D469" s="102">
        <v>500</v>
      </c>
      <c r="E469" s="71"/>
      <c r="F469" s="72"/>
      <c r="G469" s="72"/>
      <c r="H469" s="72"/>
      <c r="I469" s="71">
        <v>189</v>
      </c>
      <c r="J469" s="73">
        <v>2500</v>
      </c>
      <c r="K469" s="74">
        <v>-500</v>
      </c>
      <c r="L469" s="74">
        <f>+K469+J469</f>
        <v>2000</v>
      </c>
      <c r="M469" s="74"/>
      <c r="N469" s="74">
        <f t="shared" ref="N469" si="219">+M469+L469</f>
        <v>2000</v>
      </c>
      <c r="O469" s="74"/>
      <c r="P469" s="67">
        <v>250</v>
      </c>
      <c r="Q469" s="87">
        <f t="shared" si="190"/>
        <v>-0.875</v>
      </c>
      <c r="R469" s="88"/>
    </row>
    <row r="470" spans="1:25" ht="14.1" customHeight="1" x14ac:dyDescent="0.2">
      <c r="A470" s="181"/>
      <c r="B470" s="90" t="s">
        <v>164</v>
      </c>
      <c r="C470" s="72" t="s">
        <v>193</v>
      </c>
      <c r="D470" s="102"/>
      <c r="E470" s="71"/>
      <c r="F470" s="72"/>
      <c r="G470" s="72"/>
      <c r="H470" s="72"/>
      <c r="I470" s="71"/>
      <c r="K470" s="74"/>
      <c r="L470" s="74"/>
      <c r="M470" s="74"/>
      <c r="N470" s="74"/>
      <c r="O470" s="74">
        <v>622</v>
      </c>
      <c r="P470" s="67">
        <v>800</v>
      </c>
      <c r="Q470" s="87">
        <v>1</v>
      </c>
      <c r="R470" s="88" t="s">
        <v>831</v>
      </c>
    </row>
    <row r="471" spans="1:25" ht="14.1" customHeight="1" x14ac:dyDescent="0.2">
      <c r="A471" s="164" t="s">
        <v>669</v>
      </c>
      <c r="B471" s="147"/>
      <c r="C471" s="148" t="s">
        <v>241</v>
      </c>
      <c r="D471" s="149">
        <v>14000</v>
      </c>
      <c r="E471" s="200"/>
      <c r="F471" s="137">
        <f>+E471+D471</f>
        <v>14000</v>
      </c>
      <c r="G471" s="137">
        <v>0</v>
      </c>
      <c r="H471" s="137">
        <f>+H472</f>
        <v>14000</v>
      </c>
      <c r="I471" s="151">
        <f>+I472</f>
        <v>14000</v>
      </c>
      <c r="J471" s="189">
        <f>+J472+J473+J474</f>
        <v>20000</v>
      </c>
      <c r="K471" s="137">
        <f>+K472</f>
        <v>-3000</v>
      </c>
      <c r="L471" s="137">
        <f>+L472+L473+L474</f>
        <v>17000</v>
      </c>
      <c r="M471" s="137">
        <f t="shared" ref="M471:P471" si="220">+M472+M473+M474</f>
        <v>0</v>
      </c>
      <c r="N471" s="137">
        <f t="shared" si="220"/>
        <v>17000</v>
      </c>
      <c r="O471" s="137">
        <f t="shared" si="220"/>
        <v>15000</v>
      </c>
      <c r="P471" s="137">
        <f t="shared" si="220"/>
        <v>18184</v>
      </c>
      <c r="Q471" s="87">
        <f t="shared" si="190"/>
        <v>6.9647058823529409E-2</v>
      </c>
      <c r="R471" s="88"/>
      <c r="Y471" s="53"/>
    </row>
    <row r="472" spans="1:25" ht="14.1" customHeight="1" x14ac:dyDescent="0.2">
      <c r="A472" s="201"/>
      <c r="B472" s="95">
        <v>45</v>
      </c>
      <c r="C472" s="96" t="s">
        <v>242</v>
      </c>
      <c r="D472" s="43">
        <v>14000</v>
      </c>
      <c r="E472" s="71"/>
      <c r="F472" s="74">
        <f>+E472+D472</f>
        <v>14000</v>
      </c>
      <c r="G472" s="74"/>
      <c r="H472" s="74">
        <v>14000</v>
      </c>
      <c r="I472" s="71">
        <v>14000</v>
      </c>
      <c r="J472" s="73">
        <v>20000</v>
      </c>
      <c r="K472" s="74">
        <v>-3000</v>
      </c>
      <c r="L472" s="142">
        <f>+K472+J472</f>
        <v>17000</v>
      </c>
      <c r="M472" s="142"/>
      <c r="N472" s="142">
        <f t="shared" ref="N472" si="221">+M472+L472</f>
        <v>17000</v>
      </c>
      <c r="O472" s="142">
        <v>15000</v>
      </c>
      <c r="P472" s="142">
        <v>18184</v>
      </c>
      <c r="Q472" s="87">
        <f t="shared" si="190"/>
        <v>6.9647058823529409E-2</v>
      </c>
      <c r="R472" s="88" t="s">
        <v>1558</v>
      </c>
    </row>
    <row r="473" spans="1:25" ht="14.1" customHeight="1" x14ac:dyDescent="0.2">
      <c r="A473" s="181"/>
      <c r="B473" s="177">
        <v>50</v>
      </c>
      <c r="C473" s="178" t="s">
        <v>102</v>
      </c>
      <c r="D473" s="102"/>
      <c r="E473" s="71"/>
      <c r="F473" s="72"/>
      <c r="G473" s="72"/>
      <c r="H473" s="72"/>
      <c r="I473" s="71"/>
      <c r="J473" s="73"/>
      <c r="K473" s="74"/>
      <c r="L473" s="140">
        <v>0</v>
      </c>
      <c r="M473" s="140"/>
      <c r="N473" s="140">
        <f>+L473+M473</f>
        <v>0</v>
      </c>
      <c r="O473" s="140">
        <v>0</v>
      </c>
      <c r="P473" s="140">
        <v>0</v>
      </c>
      <c r="Q473" s="87">
        <v>0</v>
      </c>
      <c r="R473" s="88"/>
      <c r="Y473" s="53"/>
    </row>
    <row r="474" spans="1:25" ht="14.1" customHeight="1" x14ac:dyDescent="0.2">
      <c r="A474" s="181"/>
      <c r="B474" s="177">
        <v>55</v>
      </c>
      <c r="C474" s="178" t="s">
        <v>104</v>
      </c>
      <c r="D474" s="102"/>
      <c r="E474" s="71"/>
      <c r="F474" s="72"/>
      <c r="G474" s="72"/>
      <c r="H474" s="72"/>
      <c r="I474" s="71"/>
      <c r="J474" s="73"/>
      <c r="K474" s="74"/>
      <c r="L474" s="141">
        <f>+L475+L476+L477</f>
        <v>0</v>
      </c>
      <c r="M474" s="141">
        <f t="shared" ref="M474:O474" si="222">+M475+M476+M477</f>
        <v>0</v>
      </c>
      <c r="N474" s="141">
        <f t="shared" si="222"/>
        <v>0</v>
      </c>
      <c r="O474" s="141">
        <f t="shared" si="222"/>
        <v>0</v>
      </c>
      <c r="P474" s="141">
        <f t="shared" ref="P474" si="223">+P475+P476+P477</f>
        <v>0</v>
      </c>
      <c r="Q474" s="87">
        <v>0</v>
      </c>
      <c r="R474" s="88"/>
      <c r="Y474" s="53"/>
    </row>
    <row r="475" spans="1:25" ht="14.1" customHeight="1" x14ac:dyDescent="0.2">
      <c r="A475" s="181"/>
      <c r="B475" s="174">
        <v>5513</v>
      </c>
      <c r="C475" s="103" t="s">
        <v>243</v>
      </c>
      <c r="D475" s="102"/>
      <c r="E475" s="71"/>
      <c r="F475" s="72"/>
      <c r="G475" s="72"/>
      <c r="H475" s="72"/>
      <c r="I475" s="71"/>
      <c r="J475" s="73"/>
      <c r="K475" s="74"/>
      <c r="L475" s="74"/>
      <c r="M475" s="74"/>
      <c r="N475" s="74">
        <f>+L475+M475</f>
        <v>0</v>
      </c>
      <c r="O475" s="74"/>
      <c r="P475" s="67">
        <f>+M475+N475</f>
        <v>0</v>
      </c>
      <c r="Q475" s="87">
        <v>0</v>
      </c>
      <c r="R475" s="88"/>
      <c r="Y475" s="53"/>
    </row>
    <row r="476" spans="1:25" ht="14.1" customHeight="1" x14ac:dyDescent="0.2">
      <c r="A476" s="181"/>
      <c r="B476" s="174">
        <v>5514</v>
      </c>
      <c r="C476" s="72" t="s">
        <v>112</v>
      </c>
      <c r="D476" s="102"/>
      <c r="E476" s="71"/>
      <c r="F476" s="72"/>
      <c r="G476" s="72"/>
      <c r="H476" s="72"/>
      <c r="I476" s="71"/>
      <c r="J476" s="73"/>
      <c r="K476" s="74"/>
      <c r="L476" s="74"/>
      <c r="M476" s="74"/>
      <c r="N476" s="74">
        <f t="shared" ref="N476:N477" si="224">+L476+M476</f>
        <v>0</v>
      </c>
      <c r="O476" s="74"/>
      <c r="P476" s="67">
        <f>+M476+N476</f>
        <v>0</v>
      </c>
      <c r="Q476" s="87">
        <v>0</v>
      </c>
      <c r="R476" s="88"/>
      <c r="Y476" s="53"/>
    </row>
    <row r="477" spans="1:25" ht="14.1" customHeight="1" x14ac:dyDescent="0.2">
      <c r="A477" s="181"/>
      <c r="B477" s="174">
        <v>5522</v>
      </c>
      <c r="C477" s="72" t="s">
        <v>137</v>
      </c>
      <c r="D477" s="102"/>
      <c r="E477" s="71"/>
      <c r="F477" s="72"/>
      <c r="G477" s="72"/>
      <c r="H477" s="72"/>
      <c r="I477" s="71"/>
      <c r="J477" s="73"/>
      <c r="K477" s="74"/>
      <c r="L477" s="74"/>
      <c r="M477" s="74"/>
      <c r="N477" s="74">
        <f t="shared" si="224"/>
        <v>0</v>
      </c>
      <c r="O477" s="74"/>
      <c r="P477" s="67">
        <f>+M477+N477</f>
        <v>0</v>
      </c>
      <c r="Q477" s="87">
        <v>0</v>
      </c>
      <c r="R477" s="88"/>
      <c r="Y477" s="53"/>
    </row>
    <row r="478" spans="1:25" ht="14.1" customHeight="1" x14ac:dyDescent="0.2">
      <c r="A478" s="164" t="s">
        <v>670</v>
      </c>
      <c r="B478" s="161"/>
      <c r="C478" s="148" t="s">
        <v>244</v>
      </c>
      <c r="D478" s="149">
        <v>80000</v>
      </c>
      <c r="E478" s="150">
        <f>+E479</f>
        <v>6500</v>
      </c>
      <c r="F478" s="137">
        <f t="shared" ref="F478:F492" si="225">+E478+D478</f>
        <v>86500</v>
      </c>
      <c r="G478" s="137">
        <v>0</v>
      </c>
      <c r="H478" s="137">
        <f>+H479+H480</f>
        <v>86500</v>
      </c>
      <c r="I478" s="151">
        <f t="shared" ref="I478:N478" si="226">+I479+I480+I489</f>
        <v>64928</v>
      </c>
      <c r="J478" s="152">
        <f t="shared" si="226"/>
        <v>85400</v>
      </c>
      <c r="K478" s="152">
        <f t="shared" si="226"/>
        <v>-9500</v>
      </c>
      <c r="L478" s="152">
        <f t="shared" si="226"/>
        <v>75900</v>
      </c>
      <c r="M478" s="152">
        <f t="shared" si="226"/>
        <v>0</v>
      </c>
      <c r="N478" s="152">
        <f t="shared" si="226"/>
        <v>75900</v>
      </c>
      <c r="O478" s="152">
        <f t="shared" ref="O478:P478" si="227">+O479+O480+O489</f>
        <v>42012</v>
      </c>
      <c r="P478" s="152">
        <f t="shared" si="227"/>
        <v>92200</v>
      </c>
      <c r="Q478" s="87">
        <f t="shared" ref="Q478:Q552" si="228">(P478-N478)/N478</f>
        <v>0.2147562582345191</v>
      </c>
      <c r="R478" s="88"/>
      <c r="Y478" s="53"/>
    </row>
    <row r="479" spans="1:25" ht="14.1" customHeight="1" x14ac:dyDescent="0.2">
      <c r="A479" s="201"/>
      <c r="B479" s="177">
        <v>50</v>
      </c>
      <c r="C479" s="178" t="s">
        <v>102</v>
      </c>
      <c r="D479" s="43">
        <v>27300</v>
      </c>
      <c r="E479" s="71">
        <v>6500</v>
      </c>
      <c r="F479" s="74">
        <f t="shared" si="225"/>
        <v>33800</v>
      </c>
      <c r="G479" s="74"/>
      <c r="H479" s="74">
        <f>+G479+F479</f>
        <v>33800</v>
      </c>
      <c r="I479" s="71">
        <v>29227</v>
      </c>
      <c r="J479" s="73">
        <v>32400</v>
      </c>
      <c r="K479" s="74"/>
      <c r="L479" s="140">
        <f>+K479+J479</f>
        <v>32400</v>
      </c>
      <c r="M479" s="140"/>
      <c r="N479" s="140">
        <f t="shared" ref="N479" si="229">+M479+L479</f>
        <v>32400</v>
      </c>
      <c r="O479" s="140">
        <v>21437</v>
      </c>
      <c r="P479" s="67">
        <v>37450</v>
      </c>
      <c r="Q479" s="87">
        <f t="shared" si="228"/>
        <v>0.1558641975308642</v>
      </c>
      <c r="R479" s="88" t="s">
        <v>833</v>
      </c>
      <c r="Y479" s="53"/>
    </row>
    <row r="480" spans="1:25" ht="14.1" customHeight="1" x14ac:dyDescent="0.2">
      <c r="A480" s="201"/>
      <c r="B480" s="177">
        <v>55</v>
      </c>
      <c r="C480" s="178" t="s">
        <v>104</v>
      </c>
      <c r="D480" s="43">
        <v>52700</v>
      </c>
      <c r="E480" s="71"/>
      <c r="F480" s="74">
        <f t="shared" si="225"/>
        <v>52700</v>
      </c>
      <c r="G480" s="74"/>
      <c r="H480" s="74">
        <f t="shared" ref="H480:H489" si="230">+G480+F480</f>
        <v>52700</v>
      </c>
      <c r="I480" s="71">
        <f t="shared" ref="I480:N480" si="231">SUM(I481:I488)</f>
        <v>35518</v>
      </c>
      <c r="J480" s="73">
        <f t="shared" si="231"/>
        <v>53000</v>
      </c>
      <c r="K480" s="73">
        <f t="shared" si="231"/>
        <v>-9500</v>
      </c>
      <c r="L480" s="166">
        <f t="shared" si="231"/>
        <v>43500</v>
      </c>
      <c r="M480" s="166">
        <f t="shared" si="231"/>
        <v>0</v>
      </c>
      <c r="N480" s="166">
        <f t="shared" si="231"/>
        <v>43500</v>
      </c>
      <c r="O480" s="166">
        <f t="shared" ref="O480:P480" si="232">SUM(O481:O488)</f>
        <v>20575</v>
      </c>
      <c r="P480" s="166">
        <f t="shared" si="232"/>
        <v>54750</v>
      </c>
      <c r="Q480" s="87">
        <f t="shared" si="228"/>
        <v>0.25862068965517243</v>
      </c>
      <c r="R480" s="88"/>
      <c r="Y480" s="53"/>
    </row>
    <row r="481" spans="1:25" ht="14.1" customHeight="1" x14ac:dyDescent="0.2">
      <c r="A481" s="201"/>
      <c r="B481" s="174">
        <v>5500</v>
      </c>
      <c r="C481" s="103" t="s">
        <v>237</v>
      </c>
      <c r="D481" s="102">
        <v>0</v>
      </c>
      <c r="E481" s="71"/>
      <c r="F481" s="74">
        <f t="shared" si="225"/>
        <v>0</v>
      </c>
      <c r="G481" s="74"/>
      <c r="H481" s="74">
        <f t="shared" si="230"/>
        <v>0</v>
      </c>
      <c r="I481" s="71"/>
      <c r="J481" s="73"/>
      <c r="K481" s="74"/>
      <c r="L481" s="74"/>
      <c r="M481" s="74"/>
      <c r="N481" s="74">
        <f t="shared" ref="N481:N489" si="233">+L481+M481</f>
        <v>0</v>
      </c>
      <c r="O481" s="74"/>
      <c r="P481" s="67">
        <v>300</v>
      </c>
      <c r="Q481" s="87">
        <v>1</v>
      </c>
      <c r="R481" s="88"/>
      <c r="Y481" s="53"/>
    </row>
    <row r="482" spans="1:25" ht="14.1" customHeight="1" x14ac:dyDescent="0.2">
      <c r="A482" s="201"/>
      <c r="B482" s="90">
        <v>5503</v>
      </c>
      <c r="C482" s="72" t="s">
        <v>107</v>
      </c>
      <c r="D482" s="102"/>
      <c r="E482" s="71"/>
      <c r="F482" s="74"/>
      <c r="G482" s="74"/>
      <c r="H482" s="74"/>
      <c r="I482" s="71"/>
      <c r="J482" s="73"/>
      <c r="K482" s="74"/>
      <c r="L482" s="74"/>
      <c r="M482" s="74"/>
      <c r="N482" s="74"/>
      <c r="O482" s="74"/>
      <c r="P482" s="67">
        <v>200</v>
      </c>
      <c r="Q482" s="87">
        <v>1</v>
      </c>
      <c r="R482" s="88"/>
      <c r="Y482" s="53"/>
    </row>
    <row r="483" spans="1:25" ht="14.1" customHeight="1" x14ac:dyDescent="0.2">
      <c r="A483" s="201"/>
      <c r="B483" s="174">
        <v>5504</v>
      </c>
      <c r="C483" s="72" t="s">
        <v>118</v>
      </c>
      <c r="D483" s="102"/>
      <c r="E483" s="71"/>
      <c r="F483" s="74">
        <f t="shared" si="225"/>
        <v>0</v>
      </c>
      <c r="G483" s="74"/>
      <c r="H483" s="74">
        <f t="shared" si="230"/>
        <v>0</v>
      </c>
      <c r="I483" s="71">
        <v>180</v>
      </c>
      <c r="J483" s="73"/>
      <c r="K483" s="74"/>
      <c r="L483" s="74"/>
      <c r="M483" s="74"/>
      <c r="N483" s="74">
        <f t="shared" si="233"/>
        <v>0</v>
      </c>
      <c r="O483" s="74">
        <v>1030</v>
      </c>
      <c r="P483" s="67">
        <v>250</v>
      </c>
      <c r="Q483" s="87">
        <v>1</v>
      </c>
      <c r="R483" s="88"/>
    </row>
    <row r="484" spans="1:25" ht="14.1" customHeight="1" x14ac:dyDescent="0.2">
      <c r="A484" s="181"/>
      <c r="B484" s="174">
        <v>5512</v>
      </c>
      <c r="C484" s="72" t="s">
        <v>189</v>
      </c>
      <c r="D484" s="102">
        <v>39700</v>
      </c>
      <c r="E484" s="71"/>
      <c r="F484" s="74">
        <f t="shared" si="225"/>
        <v>39700</v>
      </c>
      <c r="G484" s="74"/>
      <c r="H484" s="74">
        <f t="shared" si="230"/>
        <v>39700</v>
      </c>
      <c r="I484" s="71">
        <v>28640</v>
      </c>
      <c r="J484" s="73">
        <v>39000</v>
      </c>
      <c r="K484" s="74"/>
      <c r="L484" s="74">
        <v>39000</v>
      </c>
      <c r="M484" s="74"/>
      <c r="N484" s="74">
        <f>+L484+M484</f>
        <v>39000</v>
      </c>
      <c r="O484" s="74">
        <v>13057</v>
      </c>
      <c r="P484" s="67">
        <v>37550</v>
      </c>
      <c r="Q484" s="87">
        <f t="shared" si="228"/>
        <v>-3.7179487179487179E-2</v>
      </c>
      <c r="R484" s="88" t="s">
        <v>1251</v>
      </c>
    </row>
    <row r="485" spans="1:25" ht="14.1" customHeight="1" x14ac:dyDescent="0.2">
      <c r="A485" s="181"/>
      <c r="B485" s="174">
        <v>5513</v>
      </c>
      <c r="C485" s="103" t="s">
        <v>1408</v>
      </c>
      <c r="D485" s="102">
        <v>0</v>
      </c>
      <c r="E485" s="71"/>
      <c r="F485" s="74">
        <f t="shared" si="225"/>
        <v>0</v>
      </c>
      <c r="G485" s="74"/>
      <c r="H485" s="74">
        <f t="shared" si="230"/>
        <v>0</v>
      </c>
      <c r="I485" s="71">
        <v>2288</v>
      </c>
      <c r="J485" s="73"/>
      <c r="K485" s="74"/>
      <c r="L485" s="74"/>
      <c r="M485" s="74"/>
      <c r="N485" s="74">
        <f t="shared" si="233"/>
        <v>0</v>
      </c>
      <c r="O485" s="74">
        <v>4940</v>
      </c>
      <c r="P485" s="67">
        <v>6750</v>
      </c>
      <c r="Q485" s="87">
        <v>1</v>
      </c>
      <c r="R485" s="88" t="s">
        <v>1252</v>
      </c>
    </row>
    <row r="486" spans="1:25" ht="14.1" customHeight="1" x14ac:dyDescent="0.2">
      <c r="A486" s="181"/>
      <c r="B486" s="174">
        <v>5515</v>
      </c>
      <c r="C486" s="72" t="s">
        <v>133</v>
      </c>
      <c r="D486" s="102">
        <v>13000</v>
      </c>
      <c r="E486" s="71"/>
      <c r="F486" s="74">
        <f t="shared" si="225"/>
        <v>13000</v>
      </c>
      <c r="G486" s="74"/>
      <c r="H486" s="74">
        <f t="shared" si="230"/>
        <v>13000</v>
      </c>
      <c r="I486" s="71">
        <v>4175</v>
      </c>
      <c r="J486" s="73">
        <v>14000</v>
      </c>
      <c r="K486" s="74">
        <v>-9500</v>
      </c>
      <c r="L486" s="74">
        <f>+K486+J486</f>
        <v>4500</v>
      </c>
      <c r="M486" s="74"/>
      <c r="N486" s="74">
        <f t="shared" si="233"/>
        <v>4500</v>
      </c>
      <c r="O486" s="74">
        <v>1548</v>
      </c>
      <c r="P486" s="67">
        <v>9500</v>
      </c>
      <c r="Q486" s="87">
        <f t="shared" si="228"/>
        <v>1.1111111111111112</v>
      </c>
      <c r="R486" s="88" t="s">
        <v>832</v>
      </c>
    </row>
    <row r="487" spans="1:25" ht="14.1" customHeight="1" x14ac:dyDescent="0.2">
      <c r="A487" s="181"/>
      <c r="B487" s="174">
        <v>5522</v>
      </c>
      <c r="C487" s="72" t="s">
        <v>137</v>
      </c>
      <c r="D487" s="102"/>
      <c r="E487" s="71"/>
      <c r="F487" s="74"/>
      <c r="G487" s="74"/>
      <c r="H487" s="74"/>
      <c r="I487" s="71"/>
      <c r="J487" s="73"/>
      <c r="K487" s="74"/>
      <c r="L487" s="74"/>
      <c r="M487" s="74"/>
      <c r="N487" s="74"/>
      <c r="O487" s="74"/>
      <c r="P487" s="67">
        <v>200</v>
      </c>
      <c r="Q487" s="87">
        <v>1</v>
      </c>
      <c r="R487" s="88"/>
    </row>
    <row r="488" spans="1:25" ht="14.1" customHeight="1" x14ac:dyDescent="0.2">
      <c r="A488" s="181"/>
      <c r="B488" s="174">
        <v>5540</v>
      </c>
      <c r="C488" s="72" t="s">
        <v>193</v>
      </c>
      <c r="D488" s="102"/>
      <c r="E488" s="71"/>
      <c r="F488" s="74">
        <f t="shared" si="225"/>
        <v>0</v>
      </c>
      <c r="G488" s="74"/>
      <c r="H488" s="74">
        <f t="shared" si="230"/>
        <v>0</v>
      </c>
      <c r="I488" s="71">
        <v>235</v>
      </c>
      <c r="J488" s="73"/>
      <c r="K488" s="74"/>
      <c r="L488" s="74"/>
      <c r="M488" s="74"/>
      <c r="N488" s="74">
        <f t="shared" si="233"/>
        <v>0</v>
      </c>
      <c r="O488" s="74"/>
      <c r="P488" s="67">
        <f>+M488+N488</f>
        <v>0</v>
      </c>
      <c r="Q488" s="87" t="e">
        <f t="shared" si="228"/>
        <v>#DIV/0!</v>
      </c>
      <c r="R488" s="88"/>
    </row>
    <row r="489" spans="1:25" ht="14.1" customHeight="1" x14ac:dyDescent="0.2">
      <c r="A489" s="181"/>
      <c r="B489" s="174">
        <v>601</v>
      </c>
      <c r="C489" s="72" t="s">
        <v>246</v>
      </c>
      <c r="D489" s="102"/>
      <c r="E489" s="71"/>
      <c r="F489" s="74">
        <f t="shared" si="225"/>
        <v>0</v>
      </c>
      <c r="G489" s="74"/>
      <c r="H489" s="74">
        <f t="shared" si="230"/>
        <v>0</v>
      </c>
      <c r="I489" s="71">
        <v>183</v>
      </c>
      <c r="J489" s="73"/>
      <c r="K489" s="74"/>
      <c r="L489" s="74"/>
      <c r="M489" s="74"/>
      <c r="N489" s="74">
        <f t="shared" si="233"/>
        <v>0</v>
      </c>
      <c r="O489" s="74"/>
      <c r="P489" s="67">
        <f>+M489+N489</f>
        <v>0</v>
      </c>
      <c r="Q489" s="87" t="e">
        <f t="shared" si="228"/>
        <v>#DIV/0!</v>
      </c>
      <c r="R489" s="88"/>
    </row>
    <row r="490" spans="1:25" s="53" customFormat="1" ht="14.1" customHeight="1" x14ac:dyDescent="0.2">
      <c r="A490" s="164" t="s">
        <v>673</v>
      </c>
      <c r="B490" s="147"/>
      <c r="C490" s="148" t="s">
        <v>247</v>
      </c>
      <c r="D490" s="149">
        <v>46620</v>
      </c>
      <c r="E490" s="150"/>
      <c r="F490" s="137">
        <f t="shared" si="225"/>
        <v>46620</v>
      </c>
      <c r="G490" s="137">
        <v>0</v>
      </c>
      <c r="H490" s="137">
        <f>+H491+H492</f>
        <v>46620</v>
      </c>
      <c r="I490" s="151">
        <f>+I491+I492</f>
        <v>27159</v>
      </c>
      <c r="J490" s="152">
        <f>+J491+J492</f>
        <v>52500</v>
      </c>
      <c r="K490" s="137">
        <f>+K491+K492</f>
        <v>-5930</v>
      </c>
      <c r="L490" s="137">
        <f>+L491+L492</f>
        <v>47570</v>
      </c>
      <c r="M490" s="137">
        <f t="shared" ref="M490" si="234">+M491+M492</f>
        <v>0</v>
      </c>
      <c r="N490" s="137">
        <f>+N491+N492</f>
        <v>47570</v>
      </c>
      <c r="O490" s="137">
        <f>+O491+O492</f>
        <v>32495</v>
      </c>
      <c r="P490" s="137">
        <f>+P491+P492</f>
        <v>52390</v>
      </c>
      <c r="Q490" s="87">
        <f t="shared" si="228"/>
        <v>0.10132436409501787</v>
      </c>
      <c r="R490" s="88"/>
      <c r="S490" s="56"/>
      <c r="T490" s="56"/>
      <c r="U490" s="56"/>
      <c r="V490" s="56"/>
      <c r="W490" s="56"/>
      <c r="X490" s="56"/>
      <c r="Y490" s="56"/>
    </row>
    <row r="491" spans="1:25" s="53" customFormat="1" ht="14.1" customHeight="1" x14ac:dyDescent="0.2">
      <c r="A491" s="201"/>
      <c r="B491" s="95">
        <v>50</v>
      </c>
      <c r="C491" s="178" t="s">
        <v>102</v>
      </c>
      <c r="D491" s="43">
        <v>10120</v>
      </c>
      <c r="E491" s="71"/>
      <c r="F491" s="74">
        <f t="shared" si="225"/>
        <v>10120</v>
      </c>
      <c r="G491" s="74"/>
      <c r="H491" s="74">
        <f>+G491+F491</f>
        <v>10120</v>
      </c>
      <c r="I491" s="71">
        <v>8078</v>
      </c>
      <c r="J491" s="73">
        <v>10800</v>
      </c>
      <c r="K491" s="74">
        <v>320</v>
      </c>
      <c r="L491" s="140">
        <f>+K491+J491</f>
        <v>11120</v>
      </c>
      <c r="M491" s="140"/>
      <c r="N491" s="140">
        <f t="shared" ref="N491" si="235">+M491+L491</f>
        <v>11120</v>
      </c>
      <c r="O491" s="140">
        <v>9366</v>
      </c>
      <c r="P491" s="67">
        <v>12840</v>
      </c>
      <c r="Q491" s="87">
        <f t="shared" si="228"/>
        <v>0.15467625899280577</v>
      </c>
      <c r="R491" s="88" t="s">
        <v>834</v>
      </c>
      <c r="S491" s="56"/>
      <c r="T491" s="56"/>
      <c r="U491" s="56"/>
      <c r="V491" s="56"/>
      <c r="W491" s="56"/>
      <c r="X491" s="56"/>
      <c r="Y491" s="56"/>
    </row>
    <row r="492" spans="1:25" s="53" customFormat="1" ht="14.1" customHeight="1" x14ac:dyDescent="0.2">
      <c r="A492" s="201"/>
      <c r="B492" s="95">
        <v>55</v>
      </c>
      <c r="C492" s="178" t="s">
        <v>104</v>
      </c>
      <c r="D492" s="43">
        <v>36500</v>
      </c>
      <c r="E492" s="71"/>
      <c r="F492" s="74">
        <f t="shared" si="225"/>
        <v>36500</v>
      </c>
      <c r="G492" s="74"/>
      <c r="H492" s="74">
        <f t="shared" ref="H492:H509" si="236">+G492+F492</f>
        <v>36500</v>
      </c>
      <c r="I492" s="71">
        <f>+I496+I508+I509</f>
        <v>19081</v>
      </c>
      <c r="J492" s="73">
        <f>+J493+J496+J508+J509+J511+J512+J513</f>
        <v>41700</v>
      </c>
      <c r="K492" s="73">
        <f>+K493+K496+K508+K509+K511+K512+K513</f>
        <v>-6250</v>
      </c>
      <c r="L492" s="141">
        <f>+L493+L496+L508+L509+L511+L512+L513</f>
        <v>36450</v>
      </c>
      <c r="M492" s="141">
        <f t="shared" ref="M492" si="237">+M493+M496+M508+M509+M511+M512+M513</f>
        <v>0</v>
      </c>
      <c r="N492" s="141">
        <f>+N493+N496+N508+N509+N511+N512+N513+N507+N510+N494+N495</f>
        <v>36450</v>
      </c>
      <c r="O492" s="141">
        <f>+O493+O496+O508+O509+O511+O512+O513+O507+O510+O494+O495</f>
        <v>23129</v>
      </c>
      <c r="P492" s="141">
        <f>+P493+P496+P508+P509+P511+P512+P513+P507+P510+P494+P495</f>
        <v>39550</v>
      </c>
      <c r="Q492" s="87">
        <f t="shared" si="228"/>
        <v>8.5048010973936897E-2</v>
      </c>
      <c r="R492" s="88"/>
      <c r="S492" s="49"/>
      <c r="T492" s="56"/>
      <c r="U492" s="56"/>
      <c r="V492" s="56"/>
      <c r="W492" s="56"/>
      <c r="X492" s="56"/>
      <c r="Y492" s="56"/>
    </row>
    <row r="493" spans="1:25" s="53" customFormat="1" ht="14.1" customHeight="1" x14ac:dyDescent="0.2">
      <c r="A493" s="201"/>
      <c r="B493" s="90">
        <v>5500</v>
      </c>
      <c r="C493" s="103" t="s">
        <v>237</v>
      </c>
      <c r="D493" s="43"/>
      <c r="E493" s="71"/>
      <c r="F493" s="74"/>
      <c r="G493" s="74"/>
      <c r="H493" s="74"/>
      <c r="I493" s="71"/>
      <c r="J493" s="73">
        <v>400</v>
      </c>
      <c r="K493" s="74"/>
      <c r="L493" s="74">
        <v>400</v>
      </c>
      <c r="M493" s="74"/>
      <c r="N493" s="74">
        <f>+L493+M493</f>
        <v>400</v>
      </c>
      <c r="O493" s="74">
        <v>74</v>
      </c>
      <c r="P493" s="67">
        <v>100</v>
      </c>
      <c r="Q493" s="87">
        <f t="shared" si="228"/>
        <v>-0.75</v>
      </c>
      <c r="R493" s="88"/>
      <c r="S493" s="49"/>
      <c r="T493" s="56"/>
      <c r="U493" s="56"/>
      <c r="V493" s="56"/>
      <c r="W493" s="56"/>
      <c r="X493" s="56"/>
      <c r="Y493" s="56"/>
    </row>
    <row r="494" spans="1:25" s="53" customFormat="1" ht="14.1" customHeight="1" x14ac:dyDescent="0.2">
      <c r="A494" s="201"/>
      <c r="B494" s="90">
        <v>5503</v>
      </c>
      <c r="C494" s="72" t="s">
        <v>107</v>
      </c>
      <c r="D494" s="43"/>
      <c r="E494" s="71"/>
      <c r="F494" s="74"/>
      <c r="G494" s="74"/>
      <c r="H494" s="74"/>
      <c r="I494" s="71"/>
      <c r="J494" s="73"/>
      <c r="K494" s="73"/>
      <c r="L494" s="73"/>
      <c r="M494" s="73"/>
      <c r="N494" s="73"/>
      <c r="O494" s="73"/>
      <c r="P494" s="67">
        <v>0</v>
      </c>
      <c r="Q494" s="87">
        <v>1</v>
      </c>
      <c r="R494" s="88"/>
      <c r="S494" s="49"/>
      <c r="T494" s="56"/>
      <c r="U494" s="56"/>
      <c r="V494" s="56"/>
      <c r="W494" s="56"/>
      <c r="X494" s="56"/>
      <c r="Y494" s="56"/>
    </row>
    <row r="495" spans="1:25" s="53" customFormat="1" ht="14.1" customHeight="1" x14ac:dyDescent="0.2">
      <c r="A495" s="201"/>
      <c r="B495" s="174">
        <v>5504</v>
      </c>
      <c r="C495" s="72" t="s">
        <v>118</v>
      </c>
      <c r="D495" s="43"/>
      <c r="E495" s="71"/>
      <c r="F495" s="74"/>
      <c r="G495" s="74"/>
      <c r="H495" s="74"/>
      <c r="I495" s="71"/>
      <c r="J495" s="73"/>
      <c r="K495" s="73"/>
      <c r="L495" s="73"/>
      <c r="M495" s="73"/>
      <c r="N495" s="73"/>
      <c r="O495" s="73">
        <v>137</v>
      </c>
      <c r="P495" s="67">
        <v>150</v>
      </c>
      <c r="Q495" s="87">
        <v>1</v>
      </c>
      <c r="R495" s="88"/>
      <c r="S495" s="49"/>
      <c r="T495" s="56"/>
      <c r="U495" s="56"/>
      <c r="V495" s="56"/>
      <c r="W495" s="56"/>
      <c r="X495" s="56"/>
      <c r="Y495" s="56"/>
    </row>
    <row r="496" spans="1:25" ht="14.1" customHeight="1" x14ac:dyDescent="0.2">
      <c r="A496" s="181"/>
      <c r="B496" s="174">
        <v>5511</v>
      </c>
      <c r="C496" s="72" t="s">
        <v>110</v>
      </c>
      <c r="D496" s="102">
        <v>32500</v>
      </c>
      <c r="E496" s="71"/>
      <c r="F496" s="74">
        <f t="shared" ref="F496:F504" si="238">+E496+D496</f>
        <v>32500</v>
      </c>
      <c r="G496" s="74"/>
      <c r="H496" s="74">
        <f t="shared" si="236"/>
        <v>32500</v>
      </c>
      <c r="I496" s="71">
        <f>SUM(I497:I504)</f>
        <v>18431</v>
      </c>
      <c r="J496" s="73">
        <f>SUM(J497:J506)</f>
        <v>30600</v>
      </c>
      <c r="K496" s="73">
        <f>SUM(K497:K506)</f>
        <v>-750</v>
      </c>
      <c r="L496" s="73">
        <f>SUM(L497:L506)</f>
        <v>30850</v>
      </c>
      <c r="M496" s="73">
        <f t="shared" ref="M496" si="239">SUM(M497:M506)</f>
        <v>0</v>
      </c>
      <c r="N496" s="73">
        <f>SUM(N497:N506)</f>
        <v>30850</v>
      </c>
      <c r="O496" s="73">
        <f>SUM(O497:O506)</f>
        <v>21160</v>
      </c>
      <c r="P496" s="127">
        <f>SUM(P497:P506)</f>
        <v>34250</v>
      </c>
      <c r="Q496" s="87">
        <f t="shared" si="228"/>
        <v>0.11021069692058347</v>
      </c>
      <c r="R496" s="88" t="s">
        <v>1432</v>
      </c>
      <c r="S496" s="49"/>
    </row>
    <row r="497" spans="1:25" ht="14.1" customHeight="1" x14ac:dyDescent="0.2">
      <c r="A497" s="202"/>
      <c r="B497" s="174"/>
      <c r="C497" s="72" t="s">
        <v>248</v>
      </c>
      <c r="D497" s="102">
        <v>21000</v>
      </c>
      <c r="E497" s="71"/>
      <c r="F497" s="74">
        <f t="shared" si="238"/>
        <v>21000</v>
      </c>
      <c r="G497" s="74"/>
      <c r="H497" s="153">
        <f t="shared" si="236"/>
        <v>21000</v>
      </c>
      <c r="I497" s="158">
        <v>15192</v>
      </c>
      <c r="J497" s="159">
        <v>22000</v>
      </c>
      <c r="K497" s="153"/>
      <c r="L497" s="153">
        <v>22000</v>
      </c>
      <c r="M497" s="153"/>
      <c r="N497" s="153">
        <f>+L497+M497</f>
        <v>22000</v>
      </c>
      <c r="O497" s="153">
        <v>14363</v>
      </c>
      <c r="P497" s="155">
        <v>24000</v>
      </c>
      <c r="Q497" s="87">
        <f t="shared" si="228"/>
        <v>9.0909090909090912E-2</v>
      </c>
      <c r="R497" s="203"/>
      <c r="S497" s="49"/>
    </row>
    <row r="498" spans="1:25" ht="14.1" customHeight="1" x14ac:dyDescent="0.2">
      <c r="A498" s="202"/>
      <c r="B498" s="192"/>
      <c r="C498" s="154" t="s">
        <v>224</v>
      </c>
      <c r="D498" s="157">
        <v>3300</v>
      </c>
      <c r="E498" s="71"/>
      <c r="F498" s="74">
        <f t="shared" si="238"/>
        <v>3300</v>
      </c>
      <c r="G498" s="74"/>
      <c r="H498" s="153">
        <f t="shared" si="236"/>
        <v>3300</v>
      </c>
      <c r="I498" s="158">
        <v>1174</v>
      </c>
      <c r="J498" s="159">
        <v>400</v>
      </c>
      <c r="K498" s="153">
        <v>1000</v>
      </c>
      <c r="L498" s="153">
        <f>+K498+J498</f>
        <v>1400</v>
      </c>
      <c r="M498" s="153"/>
      <c r="N498" s="153">
        <f t="shared" ref="N498:N506" si="240">+L498+M498</f>
        <v>1400</v>
      </c>
      <c r="O498" s="153">
        <v>1308</v>
      </c>
      <c r="P498" s="155">
        <v>2600</v>
      </c>
      <c r="Q498" s="87">
        <f t="shared" si="228"/>
        <v>0.8571428571428571</v>
      </c>
      <c r="R498" s="203"/>
    </row>
    <row r="499" spans="1:25" ht="14.1" customHeight="1" x14ac:dyDescent="0.2">
      <c r="A499" s="202"/>
      <c r="B499" s="192"/>
      <c r="C499" s="154" t="s">
        <v>225</v>
      </c>
      <c r="D499" s="157">
        <v>1500</v>
      </c>
      <c r="E499" s="71"/>
      <c r="F499" s="74">
        <f t="shared" si="238"/>
        <v>1500</v>
      </c>
      <c r="G499" s="74"/>
      <c r="H499" s="153">
        <f t="shared" si="236"/>
        <v>1500</v>
      </c>
      <c r="I499" s="158">
        <v>807</v>
      </c>
      <c r="J499" s="159">
        <v>2000</v>
      </c>
      <c r="K499" s="153">
        <v>-500</v>
      </c>
      <c r="L499" s="153">
        <f>+K499+J499</f>
        <v>1500</v>
      </c>
      <c r="M499" s="153"/>
      <c r="N499" s="153">
        <f t="shared" si="240"/>
        <v>1500</v>
      </c>
      <c r="O499" s="153">
        <v>952</v>
      </c>
      <c r="P499" s="155">
        <v>1000</v>
      </c>
      <c r="Q499" s="87">
        <f t="shared" si="228"/>
        <v>-0.33333333333333331</v>
      </c>
      <c r="R499" s="203"/>
    </row>
    <row r="500" spans="1:25" ht="14.1" customHeight="1" x14ac:dyDescent="0.2">
      <c r="A500" s="202"/>
      <c r="B500" s="192"/>
      <c r="C500" s="154" t="s">
        <v>226</v>
      </c>
      <c r="D500" s="157">
        <v>2400</v>
      </c>
      <c r="E500" s="71"/>
      <c r="F500" s="74">
        <f t="shared" si="238"/>
        <v>2400</v>
      </c>
      <c r="G500" s="74"/>
      <c r="H500" s="153">
        <f t="shared" si="236"/>
        <v>2400</v>
      </c>
      <c r="I500" s="158">
        <v>1258</v>
      </c>
      <c r="J500" s="159">
        <v>2400</v>
      </c>
      <c r="K500" s="153"/>
      <c r="L500" s="153">
        <v>2400</v>
      </c>
      <c r="M500" s="153"/>
      <c r="N500" s="153">
        <f t="shared" si="240"/>
        <v>2400</v>
      </c>
      <c r="O500" s="153">
        <v>1177</v>
      </c>
      <c r="P500" s="155">
        <v>800</v>
      </c>
      <c r="Q500" s="87">
        <f t="shared" si="228"/>
        <v>-0.66666666666666663</v>
      </c>
      <c r="R500" s="203"/>
    </row>
    <row r="501" spans="1:25" ht="14.1" customHeight="1" x14ac:dyDescent="0.2">
      <c r="A501" s="202"/>
      <c r="B501" s="192"/>
      <c r="C501" s="154" t="s">
        <v>227</v>
      </c>
      <c r="D501" s="157">
        <v>1000</v>
      </c>
      <c r="E501" s="71"/>
      <c r="F501" s="74">
        <f t="shared" si="238"/>
        <v>1000</v>
      </c>
      <c r="G501" s="74"/>
      <c r="H501" s="153">
        <f t="shared" si="236"/>
        <v>1000</v>
      </c>
      <c r="I501" s="158"/>
      <c r="J501" s="159">
        <v>1000</v>
      </c>
      <c r="K501" s="153"/>
      <c r="L501" s="153">
        <v>1000</v>
      </c>
      <c r="M501" s="153"/>
      <c r="N501" s="153">
        <f t="shared" si="240"/>
        <v>1000</v>
      </c>
      <c r="O501" s="153">
        <v>3360</v>
      </c>
      <c r="P501" s="155">
        <v>250</v>
      </c>
      <c r="Q501" s="87">
        <f t="shared" si="228"/>
        <v>-0.75</v>
      </c>
      <c r="R501" s="203" t="s">
        <v>1572</v>
      </c>
    </row>
    <row r="502" spans="1:25" ht="14.1" customHeight="1" x14ac:dyDescent="0.2">
      <c r="A502" s="202"/>
      <c r="B502" s="192"/>
      <c r="C502" s="154" t="s">
        <v>228</v>
      </c>
      <c r="D502" s="157">
        <v>300</v>
      </c>
      <c r="E502" s="71"/>
      <c r="F502" s="74">
        <f t="shared" si="238"/>
        <v>300</v>
      </c>
      <c r="G502" s="74"/>
      <c r="H502" s="153">
        <f t="shared" si="236"/>
        <v>300</v>
      </c>
      <c r="I502" s="158"/>
      <c r="J502" s="159">
        <v>300</v>
      </c>
      <c r="K502" s="153"/>
      <c r="L502" s="153">
        <v>300</v>
      </c>
      <c r="M502" s="153"/>
      <c r="N502" s="153">
        <f t="shared" si="240"/>
        <v>300</v>
      </c>
      <c r="O502" s="153"/>
      <c r="P502" s="155">
        <v>300</v>
      </c>
      <c r="Q502" s="87">
        <f t="shared" si="228"/>
        <v>0</v>
      </c>
      <c r="R502" s="203"/>
    </row>
    <row r="503" spans="1:25" ht="14.1" customHeight="1" x14ac:dyDescent="0.2">
      <c r="A503" s="202"/>
      <c r="B503" s="192"/>
      <c r="C503" s="154" t="s">
        <v>230</v>
      </c>
      <c r="D503" s="157">
        <v>2500</v>
      </c>
      <c r="E503" s="71"/>
      <c r="F503" s="74">
        <f t="shared" si="238"/>
        <v>2500</v>
      </c>
      <c r="G503" s="74"/>
      <c r="H503" s="153">
        <f t="shared" si="236"/>
        <v>2500</v>
      </c>
      <c r="I503" s="158"/>
      <c r="J503" s="159"/>
      <c r="K503" s="153"/>
      <c r="L503" s="153"/>
      <c r="M503" s="153"/>
      <c r="N503" s="153">
        <f t="shared" si="240"/>
        <v>0</v>
      </c>
      <c r="O503" s="153"/>
      <c r="P503" s="155">
        <v>5000</v>
      </c>
      <c r="Q503" s="87" t="e">
        <f t="shared" si="228"/>
        <v>#DIV/0!</v>
      </c>
      <c r="R503" s="203" t="s">
        <v>1253</v>
      </c>
    </row>
    <row r="504" spans="1:25" ht="14.1" customHeight="1" x14ac:dyDescent="0.2">
      <c r="A504" s="202"/>
      <c r="B504" s="192"/>
      <c r="C504" s="154" t="s">
        <v>231</v>
      </c>
      <c r="D504" s="157">
        <v>500</v>
      </c>
      <c r="E504" s="71"/>
      <c r="F504" s="74">
        <f t="shared" si="238"/>
        <v>500</v>
      </c>
      <c r="G504" s="74"/>
      <c r="H504" s="153">
        <f t="shared" si="236"/>
        <v>500</v>
      </c>
      <c r="I504" s="158"/>
      <c r="J504" s="159">
        <v>450</v>
      </c>
      <c r="K504" s="153"/>
      <c r="L504" s="153">
        <v>450</v>
      </c>
      <c r="M504" s="153"/>
      <c r="N504" s="153">
        <f t="shared" si="240"/>
        <v>450</v>
      </c>
      <c r="O504" s="153"/>
      <c r="P504" s="155">
        <v>0</v>
      </c>
      <c r="Q504" s="87">
        <f t="shared" si="228"/>
        <v>-1</v>
      </c>
      <c r="R504" s="203" t="s">
        <v>835</v>
      </c>
    </row>
    <row r="505" spans="1:25" s="49" customFormat="1" ht="14.1" customHeight="1" x14ac:dyDescent="0.2">
      <c r="A505" s="199"/>
      <c r="B505" s="192"/>
      <c r="C505" s="154" t="s">
        <v>249</v>
      </c>
      <c r="D505" s="157"/>
      <c r="E505" s="158"/>
      <c r="F505" s="153"/>
      <c r="G505" s="153"/>
      <c r="H505" s="153"/>
      <c r="I505" s="158"/>
      <c r="J505" s="159">
        <v>1250</v>
      </c>
      <c r="K505" s="153">
        <v>-1250</v>
      </c>
      <c r="L505" s="153">
        <f>+P499</f>
        <v>1000</v>
      </c>
      <c r="M505" s="153"/>
      <c r="N505" s="153">
        <f t="shared" si="240"/>
        <v>1000</v>
      </c>
      <c r="O505" s="153"/>
      <c r="P505" s="155">
        <v>0</v>
      </c>
      <c r="Q505" s="87">
        <f t="shared" si="228"/>
        <v>-1</v>
      </c>
      <c r="R505" s="203"/>
      <c r="T505" s="56"/>
      <c r="U505" s="56"/>
      <c r="V505" s="56"/>
      <c r="W505" s="56"/>
      <c r="X505" s="56"/>
      <c r="Y505" s="56"/>
    </row>
    <row r="506" spans="1:25" ht="14.1" customHeight="1" x14ac:dyDescent="0.2">
      <c r="A506" s="202"/>
      <c r="B506" s="192"/>
      <c r="C506" s="154" t="s">
        <v>250</v>
      </c>
      <c r="D506" s="157"/>
      <c r="E506" s="71"/>
      <c r="F506" s="74"/>
      <c r="G506" s="74"/>
      <c r="H506" s="153"/>
      <c r="I506" s="158"/>
      <c r="J506" s="159">
        <v>800</v>
      </c>
      <c r="K506" s="153"/>
      <c r="L506" s="153">
        <v>800</v>
      </c>
      <c r="M506" s="153"/>
      <c r="N506" s="153">
        <f t="shared" si="240"/>
        <v>800</v>
      </c>
      <c r="O506" s="153"/>
      <c r="P506" s="155">
        <v>300</v>
      </c>
      <c r="Q506" s="87">
        <f t="shared" si="228"/>
        <v>-0.625</v>
      </c>
      <c r="R506" s="203"/>
    </row>
    <row r="507" spans="1:25" ht="14.1" customHeight="1" x14ac:dyDescent="0.2">
      <c r="A507" s="202"/>
      <c r="B507" s="174">
        <v>5512</v>
      </c>
      <c r="C507" s="72" t="s">
        <v>189</v>
      </c>
      <c r="D507" s="157"/>
      <c r="E507" s="71"/>
      <c r="F507" s="74"/>
      <c r="G507" s="74"/>
      <c r="H507" s="153"/>
      <c r="I507" s="158"/>
      <c r="J507" s="159"/>
      <c r="K507" s="153"/>
      <c r="L507" s="153"/>
      <c r="M507" s="153"/>
      <c r="N507" s="153"/>
      <c r="O507" s="153">
        <v>1440</v>
      </c>
      <c r="P507" s="67">
        <v>1600</v>
      </c>
      <c r="Q507" s="87">
        <v>1</v>
      </c>
      <c r="R507" s="203" t="s">
        <v>836</v>
      </c>
    </row>
    <row r="508" spans="1:25" ht="14.1" customHeight="1" x14ac:dyDescent="0.2">
      <c r="A508" s="181"/>
      <c r="B508" s="174">
        <v>5514</v>
      </c>
      <c r="C508" s="72" t="s">
        <v>112</v>
      </c>
      <c r="D508" s="157">
        <v>4000</v>
      </c>
      <c r="E508" s="71"/>
      <c r="F508" s="74">
        <f>+E508+D508</f>
        <v>4000</v>
      </c>
      <c r="G508" s="74"/>
      <c r="H508" s="74">
        <f t="shared" si="236"/>
        <v>4000</v>
      </c>
      <c r="I508" s="71"/>
      <c r="J508" s="73">
        <v>4500</v>
      </c>
      <c r="K508" s="74">
        <v>-3000</v>
      </c>
      <c r="L508" s="74">
        <f>+K508+J508</f>
        <v>1500</v>
      </c>
      <c r="M508" s="74"/>
      <c r="N508" s="74">
        <f t="shared" ref="N508:N513" si="241">+M508+L508</f>
        <v>1500</v>
      </c>
      <c r="O508" s="74"/>
      <c r="P508" s="67">
        <v>0</v>
      </c>
      <c r="Q508" s="87">
        <f t="shared" si="228"/>
        <v>-1</v>
      </c>
    </row>
    <row r="509" spans="1:25" ht="14.1" customHeight="1" x14ac:dyDescent="0.2">
      <c r="A509" s="181"/>
      <c r="B509" s="174">
        <v>5515</v>
      </c>
      <c r="C509" s="72" t="s">
        <v>133</v>
      </c>
      <c r="D509" s="157"/>
      <c r="E509" s="71"/>
      <c r="F509" s="74">
        <f>+E509+D509</f>
        <v>0</v>
      </c>
      <c r="G509" s="74"/>
      <c r="H509" s="74">
        <f t="shared" si="236"/>
        <v>0</v>
      </c>
      <c r="I509" s="71">
        <v>650</v>
      </c>
      <c r="J509" s="73">
        <v>3000</v>
      </c>
      <c r="K509" s="74">
        <v>-2000</v>
      </c>
      <c r="L509" s="74">
        <f t="shared" ref="L509:L513" si="242">+K509+J509</f>
        <v>1000</v>
      </c>
      <c r="M509" s="74"/>
      <c r="N509" s="74">
        <f t="shared" si="241"/>
        <v>1000</v>
      </c>
      <c r="O509" s="74">
        <v>318</v>
      </c>
      <c r="P509" s="67">
        <v>2000</v>
      </c>
      <c r="Q509" s="87">
        <f t="shared" si="228"/>
        <v>1</v>
      </c>
      <c r="R509" s="204" t="s">
        <v>1409</v>
      </c>
    </row>
    <row r="510" spans="1:25" ht="14.1" customHeight="1" x14ac:dyDescent="0.2">
      <c r="A510" s="181"/>
      <c r="B510" s="90">
        <v>5521</v>
      </c>
      <c r="C510" s="72" t="s">
        <v>263</v>
      </c>
      <c r="D510" s="157"/>
      <c r="E510" s="71"/>
      <c r="F510" s="74"/>
      <c r="G510" s="74"/>
      <c r="H510" s="74"/>
      <c r="I510" s="71"/>
      <c r="J510" s="73"/>
      <c r="K510" s="74"/>
      <c r="L510" s="74"/>
      <c r="M510" s="74"/>
      <c r="N510" s="74"/>
      <c r="O510" s="74"/>
      <c r="P510" s="67">
        <v>250</v>
      </c>
      <c r="Q510" s="87">
        <v>1</v>
      </c>
      <c r="R510" s="203"/>
    </row>
    <row r="511" spans="1:25" ht="14.1" customHeight="1" x14ac:dyDescent="0.2">
      <c r="A511" s="181"/>
      <c r="B511" s="174">
        <v>5522</v>
      </c>
      <c r="C511" s="72" t="s">
        <v>137</v>
      </c>
      <c r="D511" s="157"/>
      <c r="E511" s="71"/>
      <c r="F511" s="74"/>
      <c r="G511" s="74"/>
      <c r="H511" s="74"/>
      <c r="I511" s="71"/>
      <c r="J511" s="73">
        <v>250</v>
      </c>
      <c r="K511" s="74"/>
      <c r="L511" s="74">
        <f t="shared" si="242"/>
        <v>250</v>
      </c>
      <c r="M511" s="74"/>
      <c r="N511" s="74">
        <f t="shared" si="241"/>
        <v>250</v>
      </c>
      <c r="O511" s="74"/>
      <c r="P511" s="67">
        <v>250</v>
      </c>
      <c r="Q511" s="87">
        <f t="shared" si="228"/>
        <v>0</v>
      </c>
      <c r="R511" s="203"/>
    </row>
    <row r="512" spans="1:25" ht="14.1" customHeight="1" x14ac:dyDescent="0.2">
      <c r="A512" s="181"/>
      <c r="B512" s="174">
        <v>5525</v>
      </c>
      <c r="C512" s="72" t="s">
        <v>139</v>
      </c>
      <c r="D512" s="157"/>
      <c r="E512" s="71"/>
      <c r="F512" s="74"/>
      <c r="G512" s="74"/>
      <c r="H512" s="74"/>
      <c r="I512" s="71"/>
      <c r="J512" s="73">
        <v>450</v>
      </c>
      <c r="K512" s="74"/>
      <c r="L512" s="74">
        <f t="shared" si="242"/>
        <v>450</v>
      </c>
      <c r="M512" s="74"/>
      <c r="N512" s="74">
        <f t="shared" si="241"/>
        <v>450</v>
      </c>
      <c r="O512" s="74"/>
      <c r="P512" s="67">
        <v>450</v>
      </c>
      <c r="Q512" s="87">
        <f t="shared" si="228"/>
        <v>0</v>
      </c>
      <c r="R512" s="203"/>
    </row>
    <row r="513" spans="1:25" ht="14.1" customHeight="1" x14ac:dyDescent="0.2">
      <c r="A513" s="181"/>
      <c r="B513" s="174">
        <v>5540</v>
      </c>
      <c r="C513" s="72" t="s">
        <v>193</v>
      </c>
      <c r="D513" s="157"/>
      <c r="E513" s="71"/>
      <c r="F513" s="74"/>
      <c r="G513" s="74"/>
      <c r="H513" s="74"/>
      <c r="I513" s="71"/>
      <c r="J513" s="73">
        <v>2500</v>
      </c>
      <c r="K513" s="74">
        <v>-500</v>
      </c>
      <c r="L513" s="74">
        <f t="shared" si="242"/>
        <v>2000</v>
      </c>
      <c r="M513" s="74"/>
      <c r="N513" s="74">
        <f t="shared" si="241"/>
        <v>2000</v>
      </c>
      <c r="O513" s="74"/>
      <c r="P513" s="67">
        <v>500</v>
      </c>
      <c r="Q513" s="87">
        <f t="shared" si="228"/>
        <v>-0.75</v>
      </c>
      <c r="R513" s="203" t="s">
        <v>837</v>
      </c>
    </row>
    <row r="514" spans="1:25" s="53" customFormat="1" ht="14.1" customHeight="1" x14ac:dyDescent="0.2">
      <c r="A514" s="164" t="s">
        <v>671</v>
      </c>
      <c r="B514" s="147"/>
      <c r="C514" s="148" t="s">
        <v>251</v>
      </c>
      <c r="D514" s="149">
        <v>37060</v>
      </c>
      <c r="E514" s="150"/>
      <c r="F514" s="137">
        <f>+E514+D514</f>
        <v>37060</v>
      </c>
      <c r="G514" s="137">
        <f t="shared" ref="G514:K514" si="243">+G515+G516</f>
        <v>10000</v>
      </c>
      <c r="H514" s="137">
        <f t="shared" si="243"/>
        <v>47060</v>
      </c>
      <c r="I514" s="151">
        <f t="shared" si="243"/>
        <v>35443</v>
      </c>
      <c r="J514" s="152">
        <f t="shared" si="243"/>
        <v>158220</v>
      </c>
      <c r="K514" s="152">
        <f t="shared" si="243"/>
        <v>-16750</v>
      </c>
      <c r="L514" s="152">
        <f>+L515+L516</f>
        <v>141470</v>
      </c>
      <c r="M514" s="152">
        <f t="shared" ref="M514:N514" si="244">+M515+M516</f>
        <v>0</v>
      </c>
      <c r="N514" s="152">
        <f t="shared" si="244"/>
        <v>141470</v>
      </c>
      <c r="O514" s="152">
        <f t="shared" ref="O514:P514" si="245">+O515+O516</f>
        <v>87480</v>
      </c>
      <c r="P514" s="152">
        <f t="shared" si="245"/>
        <v>136384</v>
      </c>
      <c r="Q514" s="87">
        <f t="shared" si="228"/>
        <v>-3.5951085035696613E-2</v>
      </c>
      <c r="R514" s="203"/>
      <c r="S514" s="56"/>
      <c r="T514" s="56"/>
      <c r="U514" s="56"/>
      <c r="V514" s="56"/>
      <c r="W514" s="56"/>
      <c r="X514" s="56"/>
      <c r="Y514" s="56"/>
    </row>
    <row r="515" spans="1:25" ht="14.1" customHeight="1" x14ac:dyDescent="0.2">
      <c r="A515" s="194"/>
      <c r="B515" s="95">
        <v>50</v>
      </c>
      <c r="C515" s="178" t="s">
        <v>102</v>
      </c>
      <c r="D515" s="43">
        <v>18060</v>
      </c>
      <c r="E515" s="71"/>
      <c r="F515" s="74">
        <f>+E515+D515</f>
        <v>18060</v>
      </c>
      <c r="G515" s="74">
        <v>0</v>
      </c>
      <c r="H515" s="74">
        <f>+G515+F515</f>
        <v>18060</v>
      </c>
      <c r="I515" s="71">
        <v>9574</v>
      </c>
      <c r="J515" s="73">
        <v>56180</v>
      </c>
      <c r="K515" s="74"/>
      <c r="L515" s="140">
        <f>+K515+J515</f>
        <v>56180</v>
      </c>
      <c r="M515" s="140"/>
      <c r="N515" s="140">
        <f t="shared" ref="N515" si="246">+M515+L515</f>
        <v>56180</v>
      </c>
      <c r="O515" s="140">
        <v>46982</v>
      </c>
      <c r="P515" s="67">
        <v>60984</v>
      </c>
      <c r="Q515" s="87">
        <f t="shared" si="228"/>
        <v>8.5510857956568168E-2</v>
      </c>
      <c r="R515" s="203" t="s">
        <v>838</v>
      </c>
    </row>
    <row r="516" spans="1:25" ht="14.1" customHeight="1" x14ac:dyDescent="0.2">
      <c r="A516" s="194"/>
      <c r="B516" s="95">
        <v>55</v>
      </c>
      <c r="C516" s="178" t="s">
        <v>104</v>
      </c>
      <c r="D516" s="43">
        <v>19000</v>
      </c>
      <c r="E516" s="71"/>
      <c r="F516" s="74">
        <f>+E516+D516</f>
        <v>19000</v>
      </c>
      <c r="G516" s="74">
        <f>+G517+G520+G530+G532+G533+G536+G537+G538</f>
        <v>10000</v>
      </c>
      <c r="H516" s="74">
        <f t="shared" ref="H516:H533" si="247">+G516+F516</f>
        <v>29000</v>
      </c>
      <c r="I516" s="71">
        <f>++I517+I520+I532+I533+I536+I537+I538</f>
        <v>25869</v>
      </c>
      <c r="J516" s="73">
        <f>+J517+J520+J532+J533+J536+J537+J538</f>
        <v>102040</v>
      </c>
      <c r="K516" s="73">
        <f>+K517+K520+K532+K533+K536+K537+K538</f>
        <v>-16750</v>
      </c>
      <c r="L516" s="166">
        <f>+L517+L520+L532+L533+L536+L537+L538</f>
        <v>85290</v>
      </c>
      <c r="M516" s="166">
        <f t="shared" ref="M516:N516" si="248">+M517+M520+M532+M533+M536+M537+M538</f>
        <v>0</v>
      </c>
      <c r="N516" s="166">
        <f t="shared" si="248"/>
        <v>85290</v>
      </c>
      <c r="O516" s="166">
        <f t="shared" ref="O516" si="249">+O517+O520+O532+O533+O536+O537+O538</f>
        <v>40498</v>
      </c>
      <c r="P516" s="166">
        <f>+P517+P520+P532+P533+P536+P537+P538+P518+P519+P531+P535+P534</f>
        <v>75400</v>
      </c>
      <c r="Q516" s="87">
        <f t="shared" si="228"/>
        <v>-0.11595732207761754</v>
      </c>
      <c r="R516" s="204"/>
      <c r="S516" s="171"/>
    </row>
    <row r="517" spans="1:25" ht="14.1" customHeight="1" x14ac:dyDescent="0.2">
      <c r="A517" s="194"/>
      <c r="B517" s="90">
        <v>5500</v>
      </c>
      <c r="C517" s="72" t="s">
        <v>180</v>
      </c>
      <c r="D517" s="43"/>
      <c r="E517" s="71"/>
      <c r="F517" s="74"/>
      <c r="G517" s="74"/>
      <c r="H517" s="74"/>
      <c r="I517" s="71">
        <v>55</v>
      </c>
      <c r="J517" s="73">
        <v>1300</v>
      </c>
      <c r="K517" s="74"/>
      <c r="L517" s="74">
        <v>1300</v>
      </c>
      <c r="M517" s="74"/>
      <c r="N517" s="74">
        <f>+L517+M517</f>
        <v>1300</v>
      </c>
      <c r="O517" s="74">
        <v>6</v>
      </c>
      <c r="P517" s="67">
        <v>100</v>
      </c>
      <c r="Q517" s="87">
        <f t="shared" si="228"/>
        <v>-0.92307692307692313</v>
      </c>
      <c r="R517" s="204"/>
    </row>
    <row r="518" spans="1:25" ht="14.1" customHeight="1" x14ac:dyDescent="0.2">
      <c r="A518" s="194"/>
      <c r="B518" s="90">
        <v>5503</v>
      </c>
      <c r="C518" s="72" t="s">
        <v>107</v>
      </c>
      <c r="D518" s="43"/>
      <c r="E518" s="71"/>
      <c r="F518" s="74"/>
      <c r="G518" s="74"/>
      <c r="H518" s="74"/>
      <c r="I518" s="71"/>
      <c r="J518" s="73"/>
      <c r="K518" s="73"/>
      <c r="L518" s="74"/>
      <c r="M518" s="74"/>
      <c r="N518" s="74"/>
      <c r="O518" s="74"/>
      <c r="P518" s="67">
        <v>0</v>
      </c>
      <c r="Q518" s="87">
        <v>0</v>
      </c>
      <c r="R518" s="204"/>
    </row>
    <row r="519" spans="1:25" ht="14.1" customHeight="1" x14ac:dyDescent="0.2">
      <c r="A519" s="194"/>
      <c r="B519" s="174">
        <v>5504</v>
      </c>
      <c r="C519" s="72" t="s">
        <v>118</v>
      </c>
      <c r="D519" s="43"/>
      <c r="E519" s="71"/>
      <c r="F519" s="74"/>
      <c r="G519" s="74"/>
      <c r="H519" s="74"/>
      <c r="I519" s="71"/>
      <c r="J519" s="73"/>
      <c r="K519" s="73"/>
      <c r="L519" s="74"/>
      <c r="M519" s="74"/>
      <c r="N519" s="74"/>
      <c r="O519" s="74"/>
      <c r="P519" s="67">
        <v>150</v>
      </c>
      <c r="Q519" s="87">
        <v>1</v>
      </c>
      <c r="R519" s="204"/>
    </row>
    <row r="520" spans="1:25" ht="14.1" customHeight="1" x14ac:dyDescent="0.2">
      <c r="A520" s="181"/>
      <c r="B520" s="174">
        <v>5511</v>
      </c>
      <c r="C520" s="72" t="s">
        <v>110</v>
      </c>
      <c r="D520" s="157">
        <v>16500</v>
      </c>
      <c r="E520" s="71"/>
      <c r="F520" s="74">
        <f t="shared" ref="F520:F528" si="250">+E520+D520</f>
        <v>16500</v>
      </c>
      <c r="G520" s="74"/>
      <c r="H520" s="74">
        <f t="shared" si="247"/>
        <v>16500</v>
      </c>
      <c r="I520" s="71">
        <f>SUM(I521:I530)</f>
        <v>8280</v>
      </c>
      <c r="J520" s="73">
        <f>SUM(J521:J530)</f>
        <v>78040</v>
      </c>
      <c r="K520" s="73">
        <f>SUM(K521:K530)</f>
        <v>-11250</v>
      </c>
      <c r="L520" s="74">
        <f>SUM(L521:L530)</f>
        <v>66790</v>
      </c>
      <c r="M520" s="74">
        <f t="shared" ref="M520:O520" si="251">SUM(M521:M530)</f>
        <v>0</v>
      </c>
      <c r="N520" s="74">
        <f t="shared" si="251"/>
        <v>66790</v>
      </c>
      <c r="O520" s="74">
        <f t="shared" si="251"/>
        <v>20956</v>
      </c>
      <c r="P520" s="67">
        <f t="shared" ref="P520" si="252">SUM(P521:P530)</f>
        <v>53550</v>
      </c>
      <c r="Q520" s="87">
        <f t="shared" si="228"/>
        <v>-0.19823326845336128</v>
      </c>
      <c r="R520" s="203"/>
    </row>
    <row r="521" spans="1:25" s="49" customFormat="1" ht="14.1" customHeight="1" x14ac:dyDescent="0.2">
      <c r="A521" s="199"/>
      <c r="B521" s="192"/>
      <c r="C521" s="154" t="s">
        <v>223</v>
      </c>
      <c r="D521" s="157">
        <v>7500</v>
      </c>
      <c r="E521" s="158"/>
      <c r="F521" s="153">
        <f t="shared" si="250"/>
        <v>7500</v>
      </c>
      <c r="G521" s="153"/>
      <c r="H521" s="153">
        <f t="shared" si="247"/>
        <v>7500</v>
      </c>
      <c r="I521" s="158">
        <v>1119</v>
      </c>
      <c r="J521" s="159">
        <v>45000</v>
      </c>
      <c r="K521" s="153">
        <v>-10000</v>
      </c>
      <c r="L521" s="153">
        <f>+K521+J521</f>
        <v>35000</v>
      </c>
      <c r="M521" s="153"/>
      <c r="N521" s="153">
        <f t="shared" ref="N521:N528" si="253">+M521+L521</f>
        <v>35000</v>
      </c>
      <c r="O521" s="153">
        <v>12751</v>
      </c>
      <c r="P521" s="155">
        <v>50000</v>
      </c>
      <c r="Q521" s="87">
        <f t="shared" si="228"/>
        <v>0.42857142857142855</v>
      </c>
      <c r="R521" s="203" t="s">
        <v>1433</v>
      </c>
    </row>
    <row r="522" spans="1:25" s="49" customFormat="1" ht="14.1" customHeight="1" x14ac:dyDescent="0.2">
      <c r="A522" s="199"/>
      <c r="B522" s="192"/>
      <c r="C522" s="154" t="s">
        <v>224</v>
      </c>
      <c r="D522" s="157">
        <v>1500</v>
      </c>
      <c r="E522" s="158"/>
      <c r="F522" s="153">
        <f t="shared" si="250"/>
        <v>1500</v>
      </c>
      <c r="G522" s="153"/>
      <c r="H522" s="153">
        <f t="shared" si="247"/>
        <v>1500</v>
      </c>
      <c r="I522" s="158"/>
      <c r="J522" s="159">
        <v>14500</v>
      </c>
      <c r="K522" s="153"/>
      <c r="L522" s="153">
        <v>14500</v>
      </c>
      <c r="M522" s="153"/>
      <c r="N522" s="153">
        <f t="shared" si="253"/>
        <v>14500</v>
      </c>
      <c r="O522" s="153"/>
      <c r="P522" s="155">
        <v>0</v>
      </c>
      <c r="Q522" s="87">
        <f t="shared" si="228"/>
        <v>-1</v>
      </c>
      <c r="R522" s="203" t="s">
        <v>840</v>
      </c>
    </row>
    <row r="523" spans="1:25" s="49" customFormat="1" ht="14.1" customHeight="1" x14ac:dyDescent="0.2">
      <c r="A523" s="199"/>
      <c r="B523" s="192"/>
      <c r="C523" s="154" t="s">
        <v>225</v>
      </c>
      <c r="D523" s="157">
        <v>1000</v>
      </c>
      <c r="E523" s="158"/>
      <c r="F523" s="153">
        <f t="shared" si="250"/>
        <v>1000</v>
      </c>
      <c r="G523" s="153"/>
      <c r="H523" s="153">
        <f t="shared" si="247"/>
        <v>1000</v>
      </c>
      <c r="I523" s="158"/>
      <c r="J523" s="159">
        <v>6500</v>
      </c>
      <c r="K523" s="153"/>
      <c r="L523" s="153">
        <v>6500</v>
      </c>
      <c r="M523" s="153"/>
      <c r="N523" s="153">
        <f t="shared" si="253"/>
        <v>6500</v>
      </c>
      <c r="O523" s="153"/>
      <c r="P523" s="155">
        <v>0</v>
      </c>
      <c r="Q523" s="87">
        <f t="shared" si="228"/>
        <v>-1</v>
      </c>
      <c r="R523" s="203" t="s">
        <v>840</v>
      </c>
    </row>
    <row r="524" spans="1:25" s="49" customFormat="1" ht="14.1" customHeight="1" x14ac:dyDescent="0.2">
      <c r="A524" s="199"/>
      <c r="B524" s="192"/>
      <c r="C524" s="154" t="s">
        <v>226</v>
      </c>
      <c r="D524" s="157">
        <v>2500</v>
      </c>
      <c r="E524" s="158"/>
      <c r="F524" s="153">
        <f t="shared" si="250"/>
        <v>2500</v>
      </c>
      <c r="G524" s="153"/>
      <c r="H524" s="153">
        <f t="shared" si="247"/>
        <v>2500</v>
      </c>
      <c r="I524" s="158">
        <v>5798</v>
      </c>
      <c r="J524" s="159">
        <v>4000</v>
      </c>
      <c r="K524" s="153"/>
      <c r="L524" s="153">
        <v>4000</v>
      </c>
      <c r="M524" s="153"/>
      <c r="N524" s="153">
        <f t="shared" si="253"/>
        <v>4000</v>
      </c>
      <c r="O524" s="153">
        <v>1438</v>
      </c>
      <c r="P524" s="155">
        <v>2000</v>
      </c>
      <c r="Q524" s="87">
        <f t="shared" si="228"/>
        <v>-0.5</v>
      </c>
      <c r="R524" s="203"/>
    </row>
    <row r="525" spans="1:25" s="49" customFormat="1" ht="14.1" customHeight="1" x14ac:dyDescent="0.2">
      <c r="A525" s="199"/>
      <c r="B525" s="192"/>
      <c r="C525" s="154" t="s">
        <v>227</v>
      </c>
      <c r="D525" s="157">
        <v>2500</v>
      </c>
      <c r="E525" s="158"/>
      <c r="F525" s="153">
        <f t="shared" si="250"/>
        <v>2500</v>
      </c>
      <c r="G525" s="153"/>
      <c r="H525" s="153">
        <f t="shared" si="247"/>
        <v>2500</v>
      </c>
      <c r="I525" s="158">
        <v>67</v>
      </c>
      <c r="J525" s="159">
        <v>4000</v>
      </c>
      <c r="K525" s="153"/>
      <c r="L525" s="153">
        <v>4000</v>
      </c>
      <c r="M525" s="153"/>
      <c r="N525" s="153">
        <f t="shared" si="253"/>
        <v>4000</v>
      </c>
      <c r="O525" s="153">
        <v>869</v>
      </c>
      <c r="P525" s="155">
        <v>1000</v>
      </c>
      <c r="Q525" s="87">
        <f t="shared" si="228"/>
        <v>-0.75</v>
      </c>
      <c r="R525" s="203" t="s">
        <v>839</v>
      </c>
    </row>
    <row r="526" spans="1:25" s="49" customFormat="1" ht="14.1" customHeight="1" x14ac:dyDescent="0.2">
      <c r="A526" s="199"/>
      <c r="B526" s="192"/>
      <c r="C526" s="154" t="s">
        <v>228</v>
      </c>
      <c r="D526" s="157">
        <v>300</v>
      </c>
      <c r="E526" s="158"/>
      <c r="F526" s="153">
        <f t="shared" si="250"/>
        <v>300</v>
      </c>
      <c r="G526" s="153"/>
      <c r="H526" s="153">
        <f t="shared" si="247"/>
        <v>300</v>
      </c>
      <c r="I526" s="158">
        <v>1296</v>
      </c>
      <c r="J526" s="159">
        <v>240</v>
      </c>
      <c r="K526" s="153"/>
      <c r="L526" s="153">
        <v>240</v>
      </c>
      <c r="M526" s="153"/>
      <c r="N526" s="153">
        <f t="shared" si="253"/>
        <v>240</v>
      </c>
      <c r="O526" s="153">
        <v>120</v>
      </c>
      <c r="P526" s="155">
        <v>150</v>
      </c>
      <c r="Q526" s="87">
        <f t="shared" si="228"/>
        <v>-0.375</v>
      </c>
      <c r="R526" s="203"/>
    </row>
    <row r="527" spans="1:25" s="49" customFormat="1" ht="14.1" customHeight="1" x14ac:dyDescent="0.2">
      <c r="A527" s="199"/>
      <c r="B527" s="192"/>
      <c r="C527" s="154" t="s">
        <v>230</v>
      </c>
      <c r="D527" s="157">
        <v>0</v>
      </c>
      <c r="E527" s="158"/>
      <c r="F527" s="153">
        <f t="shared" si="250"/>
        <v>0</v>
      </c>
      <c r="G527" s="153"/>
      <c r="H527" s="153">
        <f t="shared" si="247"/>
        <v>0</v>
      </c>
      <c r="I527" s="158"/>
      <c r="J527" s="159"/>
      <c r="K527" s="153"/>
      <c r="L527" s="153"/>
      <c r="M527" s="153"/>
      <c r="N527" s="153">
        <f t="shared" si="253"/>
        <v>0</v>
      </c>
      <c r="O527" s="153">
        <v>5346</v>
      </c>
      <c r="P527" s="155">
        <v>200</v>
      </c>
      <c r="Q527" s="87">
        <v>1</v>
      </c>
      <c r="R527" s="203" t="s">
        <v>1573</v>
      </c>
    </row>
    <row r="528" spans="1:25" s="49" customFormat="1" ht="14.1" customHeight="1" x14ac:dyDescent="0.2">
      <c r="A528" s="199"/>
      <c r="B528" s="192"/>
      <c r="C528" s="154" t="s">
        <v>231</v>
      </c>
      <c r="D528" s="157">
        <v>1200</v>
      </c>
      <c r="E528" s="158"/>
      <c r="F528" s="153">
        <f t="shared" si="250"/>
        <v>1200</v>
      </c>
      <c r="G528" s="153"/>
      <c r="H528" s="153">
        <f t="shared" si="247"/>
        <v>1200</v>
      </c>
      <c r="I528" s="158"/>
      <c r="J528" s="159">
        <v>550</v>
      </c>
      <c r="K528" s="153"/>
      <c r="L528" s="153">
        <v>550</v>
      </c>
      <c r="M528" s="153"/>
      <c r="N528" s="153">
        <f t="shared" si="253"/>
        <v>550</v>
      </c>
      <c r="O528" s="153"/>
      <c r="P528" s="155">
        <v>0</v>
      </c>
      <c r="Q528" s="87">
        <f t="shared" si="228"/>
        <v>-1</v>
      </c>
      <c r="R528" s="203" t="s">
        <v>840</v>
      </c>
    </row>
    <row r="529" spans="1:20" s="49" customFormat="1" ht="14.1" customHeight="1" x14ac:dyDescent="0.2">
      <c r="A529" s="199"/>
      <c r="B529" s="192"/>
      <c r="C529" s="154" t="s">
        <v>252</v>
      </c>
      <c r="D529" s="157"/>
      <c r="E529" s="158"/>
      <c r="F529" s="153"/>
      <c r="G529" s="153"/>
      <c r="H529" s="153"/>
      <c r="I529" s="158"/>
      <c r="J529" s="159">
        <v>1250</v>
      </c>
      <c r="K529" s="153">
        <v>-1250</v>
      </c>
      <c r="L529" s="153">
        <f>+K529+J529</f>
        <v>0</v>
      </c>
      <c r="M529" s="153"/>
      <c r="N529" s="153">
        <f t="shared" ref="N529:N530" si="254">+M529+L529</f>
        <v>0</v>
      </c>
      <c r="O529" s="153"/>
      <c r="P529" s="155">
        <f>+N529+M529</f>
        <v>0</v>
      </c>
      <c r="Q529" s="87">
        <v>0</v>
      </c>
      <c r="R529" s="203"/>
    </row>
    <row r="530" spans="1:20" s="49" customFormat="1" ht="14.1" customHeight="1" x14ac:dyDescent="0.2">
      <c r="A530" s="199"/>
      <c r="B530" s="192"/>
      <c r="C530" s="154" t="s">
        <v>182</v>
      </c>
      <c r="D530" s="157"/>
      <c r="E530" s="158"/>
      <c r="F530" s="153"/>
      <c r="G530" s="153"/>
      <c r="H530" s="153"/>
      <c r="I530" s="158"/>
      <c r="J530" s="159">
        <v>2000</v>
      </c>
      <c r="K530" s="153"/>
      <c r="L530" s="153">
        <v>2000</v>
      </c>
      <c r="M530" s="153"/>
      <c r="N530" s="153">
        <f t="shared" si="254"/>
        <v>2000</v>
      </c>
      <c r="O530" s="153">
        <v>432</v>
      </c>
      <c r="P530" s="155">
        <v>200</v>
      </c>
      <c r="Q530" s="87">
        <f t="shared" si="228"/>
        <v>-0.9</v>
      </c>
      <c r="R530" s="203"/>
    </row>
    <row r="531" spans="1:20" s="49" customFormat="1" ht="14.1" customHeight="1" x14ac:dyDescent="0.2">
      <c r="A531" s="199"/>
      <c r="B531" s="174">
        <v>5512</v>
      </c>
      <c r="C531" s="72" t="s">
        <v>189</v>
      </c>
      <c r="D531" s="157"/>
      <c r="E531" s="158"/>
      <c r="F531" s="153"/>
      <c r="G531" s="153"/>
      <c r="H531" s="153"/>
      <c r="I531" s="158"/>
      <c r="J531" s="159"/>
      <c r="K531" s="153"/>
      <c r="L531" s="153"/>
      <c r="M531" s="153"/>
      <c r="N531" s="153"/>
      <c r="O531" s="153"/>
      <c r="P531" s="67">
        <v>200</v>
      </c>
      <c r="Q531" s="87"/>
      <c r="R531" s="203" t="s">
        <v>841</v>
      </c>
    </row>
    <row r="532" spans="1:20" ht="14.1" customHeight="1" x14ac:dyDescent="0.2">
      <c r="A532" s="181"/>
      <c r="B532" s="174">
        <v>5514</v>
      </c>
      <c r="C532" s="72" t="s">
        <v>112</v>
      </c>
      <c r="D532" s="157"/>
      <c r="E532" s="71"/>
      <c r="F532" s="74"/>
      <c r="G532" s="74"/>
      <c r="H532" s="74"/>
      <c r="I532" s="71">
        <v>3149</v>
      </c>
      <c r="J532" s="73">
        <v>450</v>
      </c>
      <c r="K532" s="74"/>
      <c r="L532" s="74">
        <v>450</v>
      </c>
      <c r="M532" s="74"/>
      <c r="N532" s="74">
        <f t="shared" ref="N532:N538" si="255">+M532+L532</f>
        <v>450</v>
      </c>
      <c r="O532" s="74">
        <v>96</v>
      </c>
      <c r="P532" s="67">
        <v>5000</v>
      </c>
      <c r="Q532" s="87">
        <f t="shared" si="228"/>
        <v>10.111111111111111</v>
      </c>
      <c r="R532" s="203" t="s">
        <v>842</v>
      </c>
    </row>
    <row r="533" spans="1:20" ht="14.1" customHeight="1" x14ac:dyDescent="0.2">
      <c r="A533" s="181"/>
      <c r="B533" s="174">
        <v>5515</v>
      </c>
      <c r="C533" s="72" t="s">
        <v>133</v>
      </c>
      <c r="D533" s="157">
        <v>2500</v>
      </c>
      <c r="E533" s="71"/>
      <c r="F533" s="74">
        <f>+E533+D533</f>
        <v>2500</v>
      </c>
      <c r="G533" s="74">
        <v>10000</v>
      </c>
      <c r="H533" s="74">
        <f t="shared" si="247"/>
        <v>12500</v>
      </c>
      <c r="I533" s="71">
        <v>14102</v>
      </c>
      <c r="J533" s="73">
        <v>18000</v>
      </c>
      <c r="K533" s="74">
        <v>-5500</v>
      </c>
      <c r="L533" s="74">
        <f>+K533+J533</f>
        <v>12500</v>
      </c>
      <c r="M533" s="74"/>
      <c r="N533" s="74">
        <f t="shared" si="255"/>
        <v>12500</v>
      </c>
      <c r="O533" s="74">
        <v>18916</v>
      </c>
      <c r="P533" s="67">
        <v>13000</v>
      </c>
      <c r="Q533" s="87">
        <f t="shared" si="228"/>
        <v>0.04</v>
      </c>
      <c r="R533" s="203" t="s">
        <v>843</v>
      </c>
    </row>
    <row r="534" spans="1:20" ht="14.1" customHeight="1" x14ac:dyDescent="0.2">
      <c r="A534" s="181"/>
      <c r="B534" s="90">
        <v>5516</v>
      </c>
      <c r="C534" s="56" t="s">
        <v>210</v>
      </c>
      <c r="D534" s="157"/>
      <c r="E534" s="71"/>
      <c r="F534" s="74"/>
      <c r="G534" s="74"/>
      <c r="H534" s="74"/>
      <c r="I534" s="71"/>
      <c r="J534" s="73"/>
      <c r="K534" s="74"/>
      <c r="L534" s="74"/>
      <c r="M534" s="74"/>
      <c r="N534" s="74"/>
      <c r="O534" s="74"/>
      <c r="P534" s="67">
        <v>2000</v>
      </c>
      <c r="Q534" s="87">
        <v>1</v>
      </c>
      <c r="R534" s="203"/>
    </row>
    <row r="535" spans="1:20" ht="14.1" customHeight="1" x14ac:dyDescent="0.2">
      <c r="A535" s="181"/>
      <c r="B535" s="90">
        <v>5521</v>
      </c>
      <c r="C535" s="72" t="s">
        <v>263</v>
      </c>
      <c r="D535" s="157"/>
      <c r="E535" s="71"/>
      <c r="F535" s="74"/>
      <c r="G535" s="74"/>
      <c r="H535" s="74"/>
      <c r="I535" s="71"/>
      <c r="J535" s="73"/>
      <c r="K535" s="74"/>
      <c r="L535" s="74"/>
      <c r="M535" s="74"/>
      <c r="N535" s="74"/>
      <c r="O535" s="74"/>
      <c r="P535" s="67">
        <v>300</v>
      </c>
      <c r="Q535" s="87">
        <v>1</v>
      </c>
      <c r="R535" s="203"/>
    </row>
    <row r="536" spans="1:20" ht="14.1" customHeight="1" x14ac:dyDescent="0.2">
      <c r="A536" s="181"/>
      <c r="B536" s="174">
        <v>5522</v>
      </c>
      <c r="C536" s="72" t="s">
        <v>137</v>
      </c>
      <c r="D536" s="157"/>
      <c r="E536" s="71"/>
      <c r="F536" s="74"/>
      <c r="G536" s="74"/>
      <c r="H536" s="74"/>
      <c r="I536" s="71"/>
      <c r="J536" s="73">
        <v>300</v>
      </c>
      <c r="K536" s="74"/>
      <c r="L536" s="74">
        <v>300</v>
      </c>
      <c r="M536" s="74"/>
      <c r="N536" s="74">
        <f t="shared" si="255"/>
        <v>300</v>
      </c>
      <c r="O536" s="74">
        <v>137</v>
      </c>
      <c r="P536" s="67">
        <v>150</v>
      </c>
      <c r="Q536" s="87">
        <f t="shared" si="228"/>
        <v>-0.5</v>
      </c>
      <c r="R536" s="203"/>
    </row>
    <row r="537" spans="1:20" ht="14.1" customHeight="1" x14ac:dyDescent="0.2">
      <c r="A537" s="181"/>
      <c r="B537" s="174">
        <v>5525</v>
      </c>
      <c r="C537" s="72" t="s">
        <v>139</v>
      </c>
      <c r="D537" s="157"/>
      <c r="E537" s="71"/>
      <c r="F537" s="74"/>
      <c r="G537" s="74"/>
      <c r="H537" s="74"/>
      <c r="I537" s="71"/>
      <c r="J537" s="73">
        <v>1450</v>
      </c>
      <c r="K537" s="74"/>
      <c r="L537" s="74">
        <v>1450</v>
      </c>
      <c r="M537" s="74"/>
      <c r="N537" s="74">
        <f t="shared" si="255"/>
        <v>1450</v>
      </c>
      <c r="O537" s="74">
        <v>350</v>
      </c>
      <c r="P537" s="67">
        <v>450</v>
      </c>
      <c r="Q537" s="87">
        <f t="shared" si="228"/>
        <v>-0.68965517241379315</v>
      </c>
      <c r="R537" s="203"/>
    </row>
    <row r="538" spans="1:20" ht="14.1" customHeight="1" x14ac:dyDescent="0.2">
      <c r="A538" s="181"/>
      <c r="B538" s="174">
        <v>5540</v>
      </c>
      <c r="C538" s="72" t="s">
        <v>193</v>
      </c>
      <c r="D538" s="157"/>
      <c r="E538" s="71"/>
      <c r="F538" s="74"/>
      <c r="G538" s="74"/>
      <c r="H538" s="74"/>
      <c r="I538" s="71">
        <v>283</v>
      </c>
      <c r="J538" s="73">
        <v>2500</v>
      </c>
      <c r="K538" s="74"/>
      <c r="L538" s="74">
        <v>2500</v>
      </c>
      <c r="M538" s="74"/>
      <c r="N538" s="74">
        <f t="shared" si="255"/>
        <v>2500</v>
      </c>
      <c r="O538" s="74">
        <v>37</v>
      </c>
      <c r="P538" s="67">
        <v>500</v>
      </c>
      <c r="Q538" s="87">
        <f t="shared" si="228"/>
        <v>-0.8</v>
      </c>
      <c r="R538" s="204"/>
    </row>
    <row r="539" spans="1:20" ht="14.1" customHeight="1" x14ac:dyDescent="0.2">
      <c r="A539" s="146" t="s">
        <v>253</v>
      </c>
      <c r="B539" s="147"/>
      <c r="C539" s="148" t="s">
        <v>254</v>
      </c>
      <c r="D539" s="149">
        <v>28162</v>
      </c>
      <c r="E539" s="150">
        <f>+E540+E541</f>
        <v>300</v>
      </c>
      <c r="F539" s="137">
        <f t="shared" ref="F539:F550" si="256">+E539+D539</f>
        <v>28462</v>
      </c>
      <c r="G539" s="137">
        <v>0</v>
      </c>
      <c r="H539" s="137">
        <f>+H540+H541</f>
        <v>28462</v>
      </c>
      <c r="I539" s="151">
        <f>+I540+I541</f>
        <v>19357</v>
      </c>
      <c r="J539" s="152">
        <f>+J540+J541</f>
        <v>29705</v>
      </c>
      <c r="K539" s="152">
        <f>+K540+K541</f>
        <v>-1345</v>
      </c>
      <c r="L539" s="152">
        <f>+L540+L541</f>
        <v>28360</v>
      </c>
      <c r="M539" s="152">
        <f t="shared" ref="M539:N539" si="257">+M540+M541</f>
        <v>0</v>
      </c>
      <c r="N539" s="152">
        <f t="shared" si="257"/>
        <v>28360</v>
      </c>
      <c r="O539" s="152">
        <f t="shared" ref="O539:P539" si="258">+O540+O541</f>
        <v>21982</v>
      </c>
      <c r="P539" s="152">
        <f t="shared" si="258"/>
        <v>31227</v>
      </c>
      <c r="Q539" s="87">
        <f t="shared" si="228"/>
        <v>0.10109308885754584</v>
      </c>
      <c r="R539" s="203" t="s">
        <v>846</v>
      </c>
    </row>
    <row r="540" spans="1:20" ht="14.1" customHeight="1" x14ac:dyDescent="0.2">
      <c r="A540" s="89"/>
      <c r="B540" s="95">
        <v>50</v>
      </c>
      <c r="C540" s="96" t="s">
        <v>102</v>
      </c>
      <c r="D540" s="43">
        <v>17662</v>
      </c>
      <c r="E540" s="71"/>
      <c r="F540" s="74">
        <f t="shared" si="256"/>
        <v>17662</v>
      </c>
      <c r="G540" s="74"/>
      <c r="H540" s="74">
        <f>+G540+F540</f>
        <v>17662</v>
      </c>
      <c r="I540" s="71">
        <v>14165</v>
      </c>
      <c r="J540" s="73">
        <v>18545</v>
      </c>
      <c r="K540" s="74"/>
      <c r="L540" s="140">
        <f>+K540+J540</f>
        <v>18545</v>
      </c>
      <c r="M540" s="140"/>
      <c r="N540" s="140">
        <f t="shared" ref="N540" si="259">+M540+L540</f>
        <v>18545</v>
      </c>
      <c r="O540" s="140">
        <v>15464</v>
      </c>
      <c r="P540" s="67">
        <v>20407</v>
      </c>
      <c r="Q540" s="87">
        <f t="shared" si="228"/>
        <v>0.10040442167700189</v>
      </c>
      <c r="R540" s="203" t="s">
        <v>844</v>
      </c>
      <c r="T540" s="49" t="s">
        <v>1436</v>
      </c>
    </row>
    <row r="541" spans="1:20" ht="14.1" customHeight="1" x14ac:dyDescent="0.2">
      <c r="A541" s="89"/>
      <c r="B541" s="95">
        <v>55</v>
      </c>
      <c r="C541" s="96" t="s">
        <v>104</v>
      </c>
      <c r="D541" s="43">
        <v>10500</v>
      </c>
      <c r="E541" s="71">
        <f>+E542+E543+E544+E545+E548+E549+E550+E552+E553</f>
        <v>300</v>
      </c>
      <c r="F541" s="74">
        <f t="shared" si="256"/>
        <v>10800</v>
      </c>
      <c r="G541" s="74"/>
      <c r="H541" s="74">
        <f t="shared" ref="H541:H553" si="260">+G541+F541</f>
        <v>10800</v>
      </c>
      <c r="I541" s="71">
        <f>SUM(I542:I553)</f>
        <v>5192</v>
      </c>
      <c r="J541" s="73">
        <f>SUM(J542:J553)</f>
        <v>11160</v>
      </c>
      <c r="K541" s="73">
        <f>SUM(K542:K553)</f>
        <v>-1345</v>
      </c>
      <c r="L541" s="166">
        <f>+L542+L543+L544+L545+L548+L549+L550+L551+L552+L553</f>
        <v>9815</v>
      </c>
      <c r="M541" s="166">
        <f t="shared" ref="M541:N541" si="261">+M542+M543+M544+M545+M548+M549+M550+M551+M552+M553</f>
        <v>0</v>
      </c>
      <c r="N541" s="166">
        <f t="shared" si="261"/>
        <v>9815</v>
      </c>
      <c r="O541" s="166">
        <f t="shared" ref="O541" si="262">+O542+O543+O544+O545+O548+O549+O550+O551+O552+O553</f>
        <v>6518</v>
      </c>
      <c r="P541" s="141">
        <f t="shared" ref="P541" si="263">+P542+P543+P544+P545+P548+P549+P550+P551+P552+P553</f>
        <v>10820</v>
      </c>
      <c r="Q541" s="87">
        <f t="shared" si="228"/>
        <v>0.10239429444727458</v>
      </c>
      <c r="R541" s="203"/>
    </row>
    <row r="542" spans="1:20" ht="14.1" customHeight="1" x14ac:dyDescent="0.2">
      <c r="A542" s="89"/>
      <c r="B542" s="90">
        <v>5500</v>
      </c>
      <c r="C542" s="72" t="s">
        <v>180</v>
      </c>
      <c r="D542" s="102">
        <v>240</v>
      </c>
      <c r="E542" s="71"/>
      <c r="F542" s="74">
        <f t="shared" si="256"/>
        <v>240</v>
      </c>
      <c r="G542" s="74"/>
      <c r="H542" s="74">
        <f t="shared" si="260"/>
        <v>240</v>
      </c>
      <c r="I542" s="71">
        <v>1006</v>
      </c>
      <c r="J542" s="73">
        <v>300</v>
      </c>
      <c r="K542" s="74"/>
      <c r="L542" s="73">
        <f t="shared" ref="L542:L553" si="264">+K542+J542</f>
        <v>300</v>
      </c>
      <c r="M542" s="205"/>
      <c r="N542" s="73">
        <f t="shared" ref="N542:N553" si="265">+M542+L542</f>
        <v>300</v>
      </c>
      <c r="O542" s="73">
        <v>572</v>
      </c>
      <c r="P542" s="67">
        <v>970</v>
      </c>
      <c r="Q542" s="87">
        <f t="shared" si="228"/>
        <v>2.2333333333333334</v>
      </c>
      <c r="R542" s="203"/>
      <c r="S542" s="108"/>
    </row>
    <row r="543" spans="1:20" ht="14.1" customHeight="1" x14ac:dyDescent="0.2">
      <c r="A543" s="89"/>
      <c r="B543" s="90">
        <v>5503</v>
      </c>
      <c r="C543" s="72" t="s">
        <v>107</v>
      </c>
      <c r="D543" s="102">
        <v>0</v>
      </c>
      <c r="E543" s="71"/>
      <c r="F543" s="74">
        <f t="shared" si="256"/>
        <v>0</v>
      </c>
      <c r="G543" s="74"/>
      <c r="H543" s="74">
        <f t="shared" si="260"/>
        <v>0</v>
      </c>
      <c r="I543" s="71">
        <v>0</v>
      </c>
      <c r="J543" s="73">
        <v>0</v>
      </c>
      <c r="K543" s="74"/>
      <c r="L543" s="73">
        <f t="shared" si="264"/>
        <v>0</v>
      </c>
      <c r="M543" s="73"/>
      <c r="N543" s="73">
        <f t="shared" si="265"/>
        <v>0</v>
      </c>
      <c r="O543" s="73"/>
      <c r="P543" s="67">
        <v>0</v>
      </c>
      <c r="Q543" s="87">
        <v>0</v>
      </c>
      <c r="R543" s="203"/>
    </row>
    <row r="544" spans="1:20" ht="14.1" customHeight="1" x14ac:dyDescent="0.2">
      <c r="A544" s="89"/>
      <c r="B544" s="90">
        <v>5504</v>
      </c>
      <c r="C544" s="72" t="s">
        <v>118</v>
      </c>
      <c r="D544" s="102">
        <v>800</v>
      </c>
      <c r="E544" s="71"/>
      <c r="F544" s="74">
        <f t="shared" si="256"/>
        <v>800</v>
      </c>
      <c r="G544" s="74"/>
      <c r="H544" s="74">
        <f t="shared" si="260"/>
        <v>800</v>
      </c>
      <c r="I544" s="71">
        <v>30</v>
      </c>
      <c r="J544" s="73">
        <v>800</v>
      </c>
      <c r="K544" s="74"/>
      <c r="L544" s="73">
        <f t="shared" si="264"/>
        <v>800</v>
      </c>
      <c r="M544" s="73"/>
      <c r="N544" s="73">
        <f t="shared" si="265"/>
        <v>800</v>
      </c>
      <c r="O544" s="73">
        <v>55</v>
      </c>
      <c r="P544" s="67">
        <v>300</v>
      </c>
      <c r="Q544" s="87">
        <f t="shared" si="228"/>
        <v>-0.625</v>
      </c>
      <c r="R544" s="203"/>
    </row>
    <row r="545" spans="1:25" ht="14.1" customHeight="1" x14ac:dyDescent="0.2">
      <c r="A545" s="89"/>
      <c r="B545" s="90">
        <v>5511</v>
      </c>
      <c r="C545" s="72" t="s">
        <v>255</v>
      </c>
      <c r="D545" s="102">
        <v>60</v>
      </c>
      <c r="E545" s="71"/>
      <c r="F545" s="74">
        <f t="shared" si="256"/>
        <v>60</v>
      </c>
      <c r="G545" s="74"/>
      <c r="H545" s="74">
        <f t="shared" si="260"/>
        <v>60</v>
      </c>
      <c r="I545" s="71">
        <v>76</v>
      </c>
      <c r="J545" s="73">
        <v>200</v>
      </c>
      <c r="K545" s="74"/>
      <c r="L545" s="73">
        <f>SUM(L546:L547)</f>
        <v>200</v>
      </c>
      <c r="M545" s="73">
        <f t="shared" ref="M545:O545" si="266">SUM(M546:M547)</f>
        <v>0</v>
      </c>
      <c r="N545" s="73">
        <f t="shared" si="266"/>
        <v>200</v>
      </c>
      <c r="O545" s="73">
        <f t="shared" si="266"/>
        <v>126</v>
      </c>
      <c r="P545" s="67">
        <f t="shared" ref="P545" si="267">SUM(P546:P547)</f>
        <v>400</v>
      </c>
      <c r="Q545" s="87">
        <f t="shared" si="228"/>
        <v>1</v>
      </c>
      <c r="R545" s="203" t="s">
        <v>847</v>
      </c>
    </row>
    <row r="546" spans="1:25" ht="14.1" customHeight="1" x14ac:dyDescent="0.2">
      <c r="A546" s="89"/>
      <c r="B546" s="90"/>
      <c r="C546" s="175" t="s">
        <v>259</v>
      </c>
      <c r="D546" s="102"/>
      <c r="E546" s="71"/>
      <c r="F546" s="74"/>
      <c r="G546" s="74"/>
      <c r="H546" s="74"/>
      <c r="I546" s="71"/>
      <c r="J546" s="73"/>
      <c r="K546" s="74"/>
      <c r="L546" s="159">
        <v>200</v>
      </c>
      <c r="M546" s="159"/>
      <c r="N546" s="159">
        <f>+L546+M546</f>
        <v>200</v>
      </c>
      <c r="O546" s="159">
        <v>125</v>
      </c>
      <c r="P546" s="155">
        <v>400</v>
      </c>
      <c r="Q546" s="87">
        <f t="shared" si="228"/>
        <v>1</v>
      </c>
      <c r="R546" s="203"/>
    </row>
    <row r="547" spans="1:25" ht="14.1" customHeight="1" x14ac:dyDescent="0.2">
      <c r="A547" s="89"/>
      <c r="B547" s="90"/>
      <c r="C547" s="175" t="s">
        <v>260</v>
      </c>
      <c r="D547" s="102"/>
      <c r="E547" s="71"/>
      <c r="F547" s="74"/>
      <c r="G547" s="74"/>
      <c r="H547" s="74"/>
      <c r="I547" s="71"/>
      <c r="J547" s="73"/>
      <c r="K547" s="74"/>
      <c r="L547" s="159"/>
      <c r="M547" s="159"/>
      <c r="N547" s="159">
        <f>+L547+M547</f>
        <v>0</v>
      </c>
      <c r="O547" s="159">
        <v>1</v>
      </c>
      <c r="P547" s="155">
        <f>+M547+N547</f>
        <v>0</v>
      </c>
      <c r="Q547" s="87">
        <v>0</v>
      </c>
      <c r="R547" s="203"/>
    </row>
    <row r="548" spans="1:25" ht="14.1" customHeight="1" x14ac:dyDescent="0.2">
      <c r="A548" s="89"/>
      <c r="B548" s="90">
        <v>5513</v>
      </c>
      <c r="C548" s="72" t="s">
        <v>130</v>
      </c>
      <c r="D548" s="102">
        <v>1200</v>
      </c>
      <c r="E548" s="71"/>
      <c r="F548" s="74">
        <f t="shared" si="256"/>
        <v>1200</v>
      </c>
      <c r="G548" s="74"/>
      <c r="H548" s="74">
        <f t="shared" si="260"/>
        <v>1200</v>
      </c>
      <c r="I548" s="71">
        <v>249</v>
      </c>
      <c r="J548" s="73">
        <v>1200</v>
      </c>
      <c r="K548" s="74">
        <v>-200</v>
      </c>
      <c r="L548" s="73">
        <f t="shared" si="264"/>
        <v>1000</v>
      </c>
      <c r="M548" s="73"/>
      <c r="N548" s="73">
        <f t="shared" si="265"/>
        <v>1000</v>
      </c>
      <c r="O548" s="73">
        <v>881</v>
      </c>
      <c r="P548" s="67">
        <v>1200</v>
      </c>
      <c r="Q548" s="87">
        <f t="shared" si="228"/>
        <v>0.2</v>
      </c>
      <c r="R548" s="203"/>
      <c r="Y548" s="49"/>
    </row>
    <row r="549" spans="1:25" ht="14.1" customHeight="1" x14ac:dyDescent="0.2">
      <c r="A549" s="89"/>
      <c r="B549" s="90">
        <v>5514</v>
      </c>
      <c r="C549" s="72" t="s">
        <v>112</v>
      </c>
      <c r="D549" s="102">
        <v>760</v>
      </c>
      <c r="E549" s="71"/>
      <c r="F549" s="74">
        <f t="shared" si="256"/>
        <v>760</v>
      </c>
      <c r="G549" s="74"/>
      <c r="H549" s="74">
        <f t="shared" si="260"/>
        <v>760</v>
      </c>
      <c r="I549" s="71">
        <v>47</v>
      </c>
      <c r="J549" s="73">
        <v>660</v>
      </c>
      <c r="K549" s="74"/>
      <c r="L549" s="73">
        <f t="shared" si="264"/>
        <v>660</v>
      </c>
      <c r="M549" s="73"/>
      <c r="N549" s="73">
        <f t="shared" si="265"/>
        <v>660</v>
      </c>
      <c r="O549" s="73">
        <v>32</v>
      </c>
      <c r="P549" s="67">
        <f>500+250</f>
        <v>750</v>
      </c>
      <c r="Q549" s="87">
        <f t="shared" si="228"/>
        <v>0.13636363636363635</v>
      </c>
      <c r="R549" s="206" t="s">
        <v>1128</v>
      </c>
      <c r="Y549" s="49"/>
    </row>
    <row r="550" spans="1:25" ht="14.1" customHeight="1" x14ac:dyDescent="0.2">
      <c r="A550" s="89"/>
      <c r="B550" s="90">
        <v>5515</v>
      </c>
      <c r="C550" s="72" t="s">
        <v>133</v>
      </c>
      <c r="D550" s="102">
        <v>1240</v>
      </c>
      <c r="E550" s="71"/>
      <c r="F550" s="74">
        <f t="shared" si="256"/>
        <v>1240</v>
      </c>
      <c r="G550" s="74"/>
      <c r="H550" s="74">
        <f t="shared" si="260"/>
        <v>1240</v>
      </c>
      <c r="I550" s="71">
        <v>545</v>
      </c>
      <c r="J550" s="73">
        <v>1200</v>
      </c>
      <c r="K550" s="74"/>
      <c r="L550" s="73">
        <f t="shared" si="264"/>
        <v>1200</v>
      </c>
      <c r="M550" s="73"/>
      <c r="N550" s="73">
        <f t="shared" si="265"/>
        <v>1200</v>
      </c>
      <c r="O550" s="73">
        <v>828</v>
      </c>
      <c r="P550" s="67">
        <v>2000</v>
      </c>
      <c r="Q550" s="87">
        <f t="shared" si="228"/>
        <v>0.66666666666666663</v>
      </c>
      <c r="R550" s="203" t="s">
        <v>845</v>
      </c>
      <c r="Y550" s="49"/>
    </row>
    <row r="551" spans="1:25" ht="14.1" customHeight="1" x14ac:dyDescent="0.2">
      <c r="A551" s="89"/>
      <c r="B551" s="90">
        <v>5522</v>
      </c>
      <c r="C551" s="72" t="s">
        <v>137</v>
      </c>
      <c r="D551" s="102"/>
      <c r="E551" s="71"/>
      <c r="F551" s="74"/>
      <c r="G551" s="74"/>
      <c r="H551" s="74"/>
      <c r="I551" s="71">
        <v>52</v>
      </c>
      <c r="J551" s="73">
        <v>200</v>
      </c>
      <c r="K551" s="74"/>
      <c r="L551" s="73">
        <f t="shared" si="264"/>
        <v>200</v>
      </c>
      <c r="M551" s="73"/>
      <c r="N551" s="73">
        <f t="shared" si="265"/>
        <v>200</v>
      </c>
      <c r="O551" s="73"/>
      <c r="P551" s="67">
        <f>+N551+M551</f>
        <v>200</v>
      </c>
      <c r="Q551" s="87">
        <f t="shared" si="228"/>
        <v>0</v>
      </c>
      <c r="R551" s="203"/>
      <c r="Y551" s="49"/>
    </row>
    <row r="552" spans="1:25" ht="14.1" customHeight="1" x14ac:dyDescent="0.2">
      <c r="A552" s="89"/>
      <c r="B552" s="90">
        <v>5525</v>
      </c>
      <c r="C552" s="72" t="s">
        <v>139</v>
      </c>
      <c r="D552" s="102">
        <v>5600</v>
      </c>
      <c r="E552" s="71">
        <v>300</v>
      </c>
      <c r="F552" s="74">
        <f t="shared" ref="F552:F588" si="268">+E552+D552</f>
        <v>5900</v>
      </c>
      <c r="G552" s="74"/>
      <c r="H552" s="74">
        <f t="shared" si="260"/>
        <v>5900</v>
      </c>
      <c r="I552" s="71">
        <v>3187</v>
      </c>
      <c r="J552" s="73">
        <v>6000</v>
      </c>
      <c r="K552" s="74">
        <v>-1145</v>
      </c>
      <c r="L552" s="73">
        <f t="shared" si="264"/>
        <v>4855</v>
      </c>
      <c r="M552" s="73"/>
      <c r="N552" s="73">
        <f t="shared" si="265"/>
        <v>4855</v>
      </c>
      <c r="O552" s="73">
        <v>3948</v>
      </c>
      <c r="P552" s="67">
        <v>5000</v>
      </c>
      <c r="Q552" s="87">
        <f t="shared" si="228"/>
        <v>2.9866117404737384E-2</v>
      </c>
      <c r="R552" s="203" t="s">
        <v>850</v>
      </c>
      <c r="Y552" s="49"/>
    </row>
    <row r="553" spans="1:25" ht="14.1" customHeight="1" x14ac:dyDescent="0.2">
      <c r="A553" s="89"/>
      <c r="B553" s="90">
        <v>5540</v>
      </c>
      <c r="C553" s="56" t="s">
        <v>256</v>
      </c>
      <c r="D553" s="102">
        <v>600</v>
      </c>
      <c r="E553" s="71"/>
      <c r="F553" s="74">
        <f t="shared" si="268"/>
        <v>600</v>
      </c>
      <c r="G553" s="74"/>
      <c r="H553" s="74">
        <f t="shared" si="260"/>
        <v>600</v>
      </c>
      <c r="I553" s="71">
        <v>0</v>
      </c>
      <c r="J553" s="57">
        <v>600</v>
      </c>
      <c r="K553" s="74"/>
      <c r="L553" s="73">
        <f t="shared" si="264"/>
        <v>600</v>
      </c>
      <c r="M553" s="73"/>
      <c r="N553" s="73">
        <f t="shared" si="265"/>
        <v>600</v>
      </c>
      <c r="O553" s="73">
        <v>76</v>
      </c>
      <c r="P553" s="67">
        <v>0</v>
      </c>
      <c r="Q553" s="87">
        <f t="shared" ref="Q553:Q623" si="269">(P553-N553)/N553</f>
        <v>-1</v>
      </c>
      <c r="R553" s="203"/>
      <c r="Y553" s="49"/>
    </row>
    <row r="554" spans="1:25" ht="14.1" customHeight="1" x14ac:dyDescent="0.2">
      <c r="A554" s="146" t="s">
        <v>257</v>
      </c>
      <c r="B554" s="147"/>
      <c r="C554" s="207" t="s">
        <v>258</v>
      </c>
      <c r="D554" s="149">
        <v>33820</v>
      </c>
      <c r="E554" s="150"/>
      <c r="F554" s="137">
        <f t="shared" si="268"/>
        <v>33820</v>
      </c>
      <c r="G554" s="137">
        <v>0</v>
      </c>
      <c r="H554" s="137">
        <f>+H555+H556</f>
        <v>33820</v>
      </c>
      <c r="I554" s="151">
        <f>+I555+I556</f>
        <v>18207</v>
      </c>
      <c r="J554" s="152">
        <f>+J555+J556</f>
        <v>28463</v>
      </c>
      <c r="K554" s="152">
        <f>+K555+K556</f>
        <v>-1145</v>
      </c>
      <c r="L554" s="152">
        <f>+L555+L556</f>
        <v>27318</v>
      </c>
      <c r="M554" s="152">
        <f t="shared" ref="M554:N554" si="270">+M555+M556</f>
        <v>0</v>
      </c>
      <c r="N554" s="152">
        <f t="shared" si="270"/>
        <v>27318</v>
      </c>
      <c r="O554" s="152">
        <f t="shared" ref="O554:P554" si="271">+O555+O556</f>
        <v>17443</v>
      </c>
      <c r="P554" s="152">
        <f t="shared" si="271"/>
        <v>31807</v>
      </c>
      <c r="Q554" s="87">
        <f t="shared" si="269"/>
        <v>0.16432388901090855</v>
      </c>
      <c r="R554" s="203"/>
      <c r="Y554" s="49"/>
    </row>
    <row r="555" spans="1:25" ht="14.1" customHeight="1" x14ac:dyDescent="0.2">
      <c r="A555" s="94"/>
      <c r="B555" s="95">
        <v>50</v>
      </c>
      <c r="C555" s="53" t="s">
        <v>102</v>
      </c>
      <c r="D555" s="43">
        <v>17662</v>
      </c>
      <c r="E555" s="71"/>
      <c r="F555" s="74">
        <f t="shared" si="268"/>
        <v>17662</v>
      </c>
      <c r="G555" s="74"/>
      <c r="H555" s="74">
        <f>+G555+F555</f>
        <v>17662</v>
      </c>
      <c r="I555" s="71">
        <v>14718</v>
      </c>
      <c r="J555" s="73">
        <v>18545</v>
      </c>
      <c r="K555" s="74"/>
      <c r="L555" s="140">
        <f>+K555+J555</f>
        <v>18545</v>
      </c>
      <c r="M555" s="140"/>
      <c r="N555" s="140">
        <f t="shared" ref="N555:N569" si="272">+M555+L555</f>
        <v>18545</v>
      </c>
      <c r="O555" s="140">
        <v>13938</v>
      </c>
      <c r="P555" s="67">
        <v>20407</v>
      </c>
      <c r="Q555" s="87">
        <f t="shared" si="269"/>
        <v>0.10040442167700189</v>
      </c>
      <c r="R555" s="203" t="s">
        <v>844</v>
      </c>
      <c r="T555" s="49" t="s">
        <v>1436</v>
      </c>
      <c r="Y555" s="49"/>
    </row>
    <row r="556" spans="1:25" s="167" customFormat="1" ht="14.1" customHeight="1" x14ac:dyDescent="0.2">
      <c r="A556" s="180"/>
      <c r="B556" s="177">
        <v>55</v>
      </c>
      <c r="C556" s="178" t="s">
        <v>104</v>
      </c>
      <c r="D556" s="43">
        <v>16158</v>
      </c>
      <c r="E556" s="71"/>
      <c r="F556" s="74">
        <f t="shared" si="268"/>
        <v>16158</v>
      </c>
      <c r="G556" s="74"/>
      <c r="H556" s="74">
        <f t="shared" ref="H556:H569" si="273">+G556+F556</f>
        <v>16158</v>
      </c>
      <c r="I556" s="71">
        <f>+I557+I558+I559+I563+I564+I565+I566+I567+I568+I569</f>
        <v>3489</v>
      </c>
      <c r="J556" s="73">
        <f>+J557+J558+J559+J563+J564+J565+J566+J567+J568+J569</f>
        <v>9918</v>
      </c>
      <c r="K556" s="73">
        <f>+K557+K558+K559+K563+K564+K565+K566+K567+K568+K569</f>
        <v>-1145</v>
      </c>
      <c r="L556" s="141">
        <f>+L557+L558+L559+L563+L564+L565+L566+L567+L568+L569</f>
        <v>8773</v>
      </c>
      <c r="M556" s="141">
        <f t="shared" ref="M556:N556" si="274">+M557+M558+M559+M563+M564+M565+M566+M567+M568+M569</f>
        <v>0</v>
      </c>
      <c r="N556" s="141">
        <f t="shared" si="274"/>
        <v>8773</v>
      </c>
      <c r="O556" s="141">
        <f t="shared" ref="O556" si="275">+O557+O558+O559+O563+O564+O565+O566+O567+O568+O569</f>
        <v>3505</v>
      </c>
      <c r="P556" s="141">
        <f>+P557+P558+P559+P563+P564+P565+P566+P567+P568+P569+P562</f>
        <v>11400</v>
      </c>
      <c r="Q556" s="87">
        <f t="shared" si="269"/>
        <v>0.29944146814088679</v>
      </c>
      <c r="R556" s="203"/>
      <c r="S556" s="56"/>
      <c r="T556" s="56"/>
      <c r="U556" s="56"/>
      <c r="V556" s="56"/>
      <c r="W556" s="56"/>
      <c r="X556" s="56"/>
      <c r="Y556" s="49"/>
    </row>
    <row r="557" spans="1:25" s="167" customFormat="1" ht="14.1" customHeight="1" x14ac:dyDescent="0.2">
      <c r="A557" s="180"/>
      <c r="B557" s="174">
        <v>5500</v>
      </c>
      <c r="C557" s="208" t="s">
        <v>180</v>
      </c>
      <c r="D557" s="102">
        <v>700</v>
      </c>
      <c r="E557" s="71"/>
      <c r="F557" s="74">
        <f t="shared" si="268"/>
        <v>700</v>
      </c>
      <c r="G557" s="74"/>
      <c r="H557" s="74">
        <f t="shared" si="273"/>
        <v>700</v>
      </c>
      <c r="I557" s="71">
        <v>116</v>
      </c>
      <c r="J557" s="73">
        <v>750</v>
      </c>
      <c r="K557" s="74"/>
      <c r="L557" s="74">
        <f t="shared" ref="L557:L569" si="276">+K557+J557</f>
        <v>750</v>
      </c>
      <c r="M557" s="74"/>
      <c r="N557" s="74">
        <f t="shared" si="272"/>
        <v>750</v>
      </c>
      <c r="O557" s="74">
        <v>432</v>
      </c>
      <c r="P557" s="67">
        <v>900</v>
      </c>
      <c r="Q557" s="87">
        <f t="shared" si="269"/>
        <v>0.2</v>
      </c>
      <c r="R557" s="203"/>
      <c r="S557" s="56"/>
      <c r="T557" s="56"/>
      <c r="U557" s="56"/>
      <c r="V557" s="56"/>
      <c r="W557" s="56"/>
      <c r="X557" s="56"/>
      <c r="Y557" s="56"/>
    </row>
    <row r="558" spans="1:25" s="167" customFormat="1" ht="14.1" customHeight="1" x14ac:dyDescent="0.2">
      <c r="A558" s="180"/>
      <c r="B558" s="174">
        <v>5504</v>
      </c>
      <c r="C558" s="208" t="s">
        <v>118</v>
      </c>
      <c r="D558" s="102">
        <v>300</v>
      </c>
      <c r="E558" s="71"/>
      <c r="F558" s="74">
        <f t="shared" si="268"/>
        <v>300</v>
      </c>
      <c r="G558" s="74"/>
      <c r="H558" s="74">
        <f t="shared" si="273"/>
        <v>300</v>
      </c>
      <c r="I558" s="71">
        <v>30</v>
      </c>
      <c r="J558" s="73">
        <v>300</v>
      </c>
      <c r="K558" s="74"/>
      <c r="L558" s="74">
        <f t="shared" si="276"/>
        <v>300</v>
      </c>
      <c r="M558" s="74"/>
      <c r="N558" s="74">
        <f t="shared" si="272"/>
        <v>300</v>
      </c>
      <c r="O558" s="74">
        <v>54</v>
      </c>
      <c r="P558" s="67">
        <f>+N558+M558</f>
        <v>300</v>
      </c>
      <c r="Q558" s="87">
        <f t="shared" si="269"/>
        <v>0</v>
      </c>
      <c r="R558" s="203"/>
      <c r="S558" s="56"/>
      <c r="T558" s="56"/>
      <c r="U558" s="56"/>
      <c r="V558" s="56"/>
      <c r="W558" s="56"/>
      <c r="X558" s="56"/>
      <c r="Y558" s="56"/>
    </row>
    <row r="559" spans="1:25" s="167" customFormat="1" ht="14.1" customHeight="1" x14ac:dyDescent="0.2">
      <c r="A559" s="180"/>
      <c r="B559" s="90">
        <v>5511</v>
      </c>
      <c r="C559" s="172" t="s">
        <v>255</v>
      </c>
      <c r="D559" s="102">
        <v>200</v>
      </c>
      <c r="E559" s="71"/>
      <c r="F559" s="74">
        <f t="shared" si="268"/>
        <v>200</v>
      </c>
      <c r="G559" s="74"/>
      <c r="H559" s="74">
        <f t="shared" si="273"/>
        <v>200</v>
      </c>
      <c r="I559" s="71">
        <f>+I560+I561</f>
        <v>208</v>
      </c>
      <c r="J559" s="73">
        <f>+J560+J561</f>
        <v>500</v>
      </c>
      <c r="K559" s="74"/>
      <c r="L559" s="74">
        <f>SUM(L560:L561)</f>
        <v>500</v>
      </c>
      <c r="M559" s="74">
        <f t="shared" ref="M559:O559" si="277">SUM(M560:M561)</f>
        <v>0</v>
      </c>
      <c r="N559" s="74">
        <f t="shared" si="277"/>
        <v>500</v>
      </c>
      <c r="O559" s="74">
        <f t="shared" si="277"/>
        <v>116</v>
      </c>
      <c r="P559" s="67">
        <f t="shared" ref="P559" si="278">SUM(P560:P561)</f>
        <v>550</v>
      </c>
      <c r="Q559" s="87">
        <f t="shared" si="269"/>
        <v>0.1</v>
      </c>
      <c r="R559" s="203" t="s">
        <v>848</v>
      </c>
      <c r="S559" s="56"/>
      <c r="T559" s="56"/>
      <c r="U559" s="56"/>
      <c r="V559" s="56"/>
      <c r="W559" s="56"/>
      <c r="X559" s="56"/>
      <c r="Y559" s="56"/>
    </row>
    <row r="560" spans="1:25" s="167" customFormat="1" ht="14.1" customHeight="1" x14ac:dyDescent="0.2">
      <c r="A560" s="176"/>
      <c r="B560" s="90"/>
      <c r="C560" s="175" t="s">
        <v>259</v>
      </c>
      <c r="D560" s="102">
        <v>200</v>
      </c>
      <c r="E560" s="71"/>
      <c r="F560" s="153">
        <f t="shared" si="268"/>
        <v>200</v>
      </c>
      <c r="G560" s="153"/>
      <c r="H560" s="153">
        <f t="shared" si="273"/>
        <v>200</v>
      </c>
      <c r="I560" s="158">
        <v>208</v>
      </c>
      <c r="J560" s="159">
        <v>250</v>
      </c>
      <c r="K560" s="153"/>
      <c r="L560" s="153">
        <f t="shared" si="276"/>
        <v>250</v>
      </c>
      <c r="M560" s="153"/>
      <c r="N560" s="153">
        <f t="shared" si="272"/>
        <v>250</v>
      </c>
      <c r="O560" s="153">
        <v>116</v>
      </c>
      <c r="P560" s="155">
        <v>300</v>
      </c>
      <c r="Q560" s="87">
        <f t="shared" si="269"/>
        <v>0.2</v>
      </c>
      <c r="R560" s="203"/>
      <c r="S560" s="56"/>
      <c r="T560" s="56"/>
      <c r="U560" s="56"/>
      <c r="V560" s="56"/>
      <c r="W560" s="56"/>
      <c r="X560" s="56"/>
      <c r="Y560" s="56"/>
    </row>
    <row r="561" spans="1:25" s="167" customFormat="1" ht="14.1" customHeight="1" x14ac:dyDescent="0.2">
      <c r="A561" s="176"/>
      <c r="B561" s="90"/>
      <c r="C561" s="175" t="s">
        <v>260</v>
      </c>
      <c r="D561" s="102">
        <v>0</v>
      </c>
      <c r="E561" s="71"/>
      <c r="F561" s="153">
        <f t="shared" si="268"/>
        <v>0</v>
      </c>
      <c r="G561" s="153"/>
      <c r="H561" s="153">
        <f t="shared" si="273"/>
        <v>0</v>
      </c>
      <c r="I561" s="158"/>
      <c r="J561" s="159">
        <v>250</v>
      </c>
      <c r="K561" s="153"/>
      <c r="L561" s="153">
        <f t="shared" si="276"/>
        <v>250</v>
      </c>
      <c r="M561" s="153"/>
      <c r="N561" s="153">
        <f t="shared" si="272"/>
        <v>250</v>
      </c>
      <c r="O561" s="153"/>
      <c r="P561" s="155">
        <v>250</v>
      </c>
      <c r="Q561" s="87">
        <f t="shared" si="269"/>
        <v>0</v>
      </c>
      <c r="R561" s="203"/>
      <c r="S561" s="56"/>
      <c r="T561" s="56"/>
      <c r="U561" s="56"/>
      <c r="V561" s="56"/>
      <c r="W561" s="56"/>
      <c r="X561" s="56"/>
      <c r="Y561" s="56"/>
    </row>
    <row r="562" spans="1:25" s="167" customFormat="1" ht="14.1" customHeight="1" x14ac:dyDescent="0.2">
      <c r="A562" s="176"/>
      <c r="B562" s="174">
        <v>5512</v>
      </c>
      <c r="C562" s="72" t="s">
        <v>189</v>
      </c>
      <c r="D562" s="102"/>
      <c r="E562" s="71"/>
      <c r="F562" s="153"/>
      <c r="G562" s="153"/>
      <c r="H562" s="153"/>
      <c r="I562" s="158"/>
      <c r="J562" s="159"/>
      <c r="K562" s="153"/>
      <c r="L562" s="153"/>
      <c r="M562" s="153"/>
      <c r="N562" s="153"/>
      <c r="O562" s="153"/>
      <c r="P562" s="67">
        <v>1000</v>
      </c>
      <c r="Q562" s="87">
        <v>1</v>
      </c>
      <c r="R562" s="203" t="s">
        <v>849</v>
      </c>
      <c r="S562" s="56"/>
      <c r="T562" s="56"/>
      <c r="U562" s="56"/>
      <c r="V562" s="56"/>
      <c r="W562" s="56"/>
      <c r="X562" s="56"/>
      <c r="Y562" s="56"/>
    </row>
    <row r="563" spans="1:25" s="167" customFormat="1" ht="14.1" customHeight="1" x14ac:dyDescent="0.2">
      <c r="A563" s="180"/>
      <c r="B563" s="174">
        <v>5513</v>
      </c>
      <c r="C563" s="208" t="s">
        <v>130</v>
      </c>
      <c r="D563" s="102">
        <v>768</v>
      </c>
      <c r="E563" s="71"/>
      <c r="F563" s="74">
        <f t="shared" si="268"/>
        <v>768</v>
      </c>
      <c r="G563" s="74"/>
      <c r="H563" s="74">
        <f t="shared" si="273"/>
        <v>768</v>
      </c>
      <c r="I563" s="71">
        <v>60</v>
      </c>
      <c r="J563" s="73">
        <v>768</v>
      </c>
      <c r="K563" s="74"/>
      <c r="L563" s="74">
        <f t="shared" si="276"/>
        <v>768</v>
      </c>
      <c r="M563" s="74"/>
      <c r="N563" s="74">
        <f t="shared" si="272"/>
        <v>768</v>
      </c>
      <c r="O563" s="74"/>
      <c r="P563" s="67">
        <v>800</v>
      </c>
      <c r="Q563" s="87">
        <f t="shared" si="269"/>
        <v>4.1666666666666664E-2</v>
      </c>
      <c r="R563" s="203"/>
      <c r="S563" s="56"/>
      <c r="T563" s="56"/>
      <c r="U563" s="56"/>
      <c r="V563" s="56"/>
      <c r="W563" s="56"/>
      <c r="X563" s="56"/>
      <c r="Y563" s="56"/>
    </row>
    <row r="564" spans="1:25" s="167" customFormat="1" ht="14.1" customHeight="1" x14ac:dyDescent="0.2">
      <c r="A564" s="180"/>
      <c r="B564" s="174">
        <v>5514</v>
      </c>
      <c r="C564" s="172" t="s">
        <v>112</v>
      </c>
      <c r="D564" s="102">
        <v>240</v>
      </c>
      <c r="E564" s="71"/>
      <c r="F564" s="74">
        <f t="shared" si="268"/>
        <v>240</v>
      </c>
      <c r="G564" s="74"/>
      <c r="H564" s="74">
        <f t="shared" si="273"/>
        <v>240</v>
      </c>
      <c r="I564" s="71">
        <v>122</v>
      </c>
      <c r="J564" s="73">
        <v>250</v>
      </c>
      <c r="K564" s="74"/>
      <c r="L564" s="74">
        <f t="shared" si="276"/>
        <v>250</v>
      </c>
      <c r="M564" s="74"/>
      <c r="N564" s="74">
        <f t="shared" si="272"/>
        <v>250</v>
      </c>
      <c r="O564" s="74"/>
      <c r="P564" s="67">
        <f>500+250</f>
        <v>750</v>
      </c>
      <c r="Q564" s="87">
        <f t="shared" si="269"/>
        <v>2</v>
      </c>
      <c r="R564" s="206" t="s">
        <v>1129</v>
      </c>
      <c r="S564" s="56"/>
      <c r="T564" s="56"/>
      <c r="U564" s="56"/>
      <c r="V564" s="56"/>
      <c r="W564" s="56"/>
      <c r="X564" s="56"/>
      <c r="Y564" s="56"/>
    </row>
    <row r="565" spans="1:25" s="167" customFormat="1" ht="14.1" customHeight="1" x14ac:dyDescent="0.2">
      <c r="A565" s="180"/>
      <c r="B565" s="174">
        <v>5515</v>
      </c>
      <c r="C565" s="208" t="s">
        <v>133</v>
      </c>
      <c r="D565" s="102">
        <v>200</v>
      </c>
      <c r="E565" s="71"/>
      <c r="F565" s="74">
        <f t="shared" si="268"/>
        <v>200</v>
      </c>
      <c r="G565" s="74"/>
      <c r="H565" s="74">
        <f t="shared" si="273"/>
        <v>200</v>
      </c>
      <c r="I565" s="71">
        <v>125</v>
      </c>
      <c r="J565" s="73">
        <v>500</v>
      </c>
      <c r="K565" s="74"/>
      <c r="L565" s="74">
        <f t="shared" si="276"/>
        <v>500</v>
      </c>
      <c r="M565" s="74"/>
      <c r="N565" s="74">
        <f t="shared" si="272"/>
        <v>500</v>
      </c>
      <c r="O565" s="74">
        <v>1022</v>
      </c>
      <c r="P565" s="67">
        <v>1000</v>
      </c>
      <c r="Q565" s="87">
        <f t="shared" si="269"/>
        <v>1</v>
      </c>
      <c r="R565" s="203"/>
      <c r="S565" s="56"/>
      <c r="T565" s="56"/>
      <c r="U565" s="56"/>
      <c r="V565" s="56"/>
      <c r="W565" s="56"/>
      <c r="X565" s="56"/>
      <c r="Y565" s="56"/>
    </row>
    <row r="566" spans="1:25" s="167" customFormat="1" ht="14.1" customHeight="1" x14ac:dyDescent="0.2">
      <c r="A566" s="180"/>
      <c r="B566" s="174">
        <v>5521</v>
      </c>
      <c r="C566" s="208" t="s">
        <v>261</v>
      </c>
      <c r="D566" s="102">
        <v>0</v>
      </c>
      <c r="E566" s="71"/>
      <c r="F566" s="74">
        <f t="shared" si="268"/>
        <v>0</v>
      </c>
      <c r="G566" s="74"/>
      <c r="H566" s="74">
        <f t="shared" si="273"/>
        <v>0</v>
      </c>
      <c r="I566" s="71"/>
      <c r="J566" s="73">
        <v>0</v>
      </c>
      <c r="K566" s="74"/>
      <c r="L566" s="74">
        <f t="shared" si="276"/>
        <v>0</v>
      </c>
      <c r="M566" s="74"/>
      <c r="N566" s="74">
        <f t="shared" si="272"/>
        <v>0</v>
      </c>
      <c r="O566" s="74"/>
      <c r="P566" s="67">
        <v>200</v>
      </c>
      <c r="Q566" s="87" t="e">
        <f t="shared" si="269"/>
        <v>#DIV/0!</v>
      </c>
      <c r="R566" s="203"/>
      <c r="S566" s="56"/>
      <c r="T566" s="56"/>
      <c r="U566" s="56"/>
      <c r="V566" s="56"/>
      <c r="W566" s="56"/>
      <c r="X566" s="56"/>
      <c r="Y566" s="56"/>
    </row>
    <row r="567" spans="1:25" s="167" customFormat="1" ht="14.1" customHeight="1" x14ac:dyDescent="0.2">
      <c r="A567" s="180"/>
      <c r="B567" s="174">
        <v>5522</v>
      </c>
      <c r="C567" s="208" t="s">
        <v>137</v>
      </c>
      <c r="D567" s="102">
        <v>50</v>
      </c>
      <c r="E567" s="71"/>
      <c r="F567" s="74">
        <f t="shared" si="268"/>
        <v>50</v>
      </c>
      <c r="G567" s="74"/>
      <c r="H567" s="74">
        <f t="shared" si="273"/>
        <v>50</v>
      </c>
      <c r="I567" s="71">
        <v>52</v>
      </c>
      <c r="J567" s="73">
        <v>150</v>
      </c>
      <c r="K567" s="74"/>
      <c r="L567" s="74">
        <f t="shared" si="276"/>
        <v>150</v>
      </c>
      <c r="M567" s="74"/>
      <c r="N567" s="74">
        <f t="shared" si="272"/>
        <v>150</v>
      </c>
      <c r="O567" s="74"/>
      <c r="P567" s="67">
        <v>200</v>
      </c>
      <c r="Q567" s="87">
        <f t="shared" si="269"/>
        <v>0.33333333333333331</v>
      </c>
      <c r="R567" s="203"/>
      <c r="S567" s="56"/>
      <c r="T567" s="56"/>
      <c r="U567" s="56"/>
      <c r="V567" s="56"/>
      <c r="W567" s="56"/>
      <c r="X567" s="56"/>
      <c r="Y567" s="56"/>
    </row>
    <row r="568" spans="1:25" ht="14.1" customHeight="1" x14ac:dyDescent="0.2">
      <c r="A568" s="89"/>
      <c r="B568" s="90">
        <v>5525</v>
      </c>
      <c r="C568" s="172" t="s">
        <v>139</v>
      </c>
      <c r="D568" s="102">
        <v>13000</v>
      </c>
      <c r="E568" s="71"/>
      <c r="F568" s="74">
        <f t="shared" si="268"/>
        <v>13000</v>
      </c>
      <c r="G568" s="74"/>
      <c r="H568" s="74">
        <f t="shared" si="273"/>
        <v>13000</v>
      </c>
      <c r="I568" s="71">
        <v>2600</v>
      </c>
      <c r="J568" s="73">
        <v>6000</v>
      </c>
      <c r="K568" s="74">
        <v>-1145</v>
      </c>
      <c r="L568" s="74">
        <f t="shared" si="276"/>
        <v>4855</v>
      </c>
      <c r="M568" s="74"/>
      <c r="N568" s="74">
        <f t="shared" si="272"/>
        <v>4855</v>
      </c>
      <c r="O568" s="74">
        <v>1771</v>
      </c>
      <c r="P568" s="67">
        <v>5000</v>
      </c>
      <c r="Q568" s="87">
        <f t="shared" si="269"/>
        <v>2.9866117404737384E-2</v>
      </c>
      <c r="R568" s="203" t="s">
        <v>1388</v>
      </c>
    </row>
    <row r="569" spans="1:25" ht="14.1" customHeight="1" x14ac:dyDescent="0.2">
      <c r="A569" s="89"/>
      <c r="B569" s="90">
        <v>5540</v>
      </c>
      <c r="C569" s="56" t="s">
        <v>256</v>
      </c>
      <c r="D569" s="102">
        <v>700</v>
      </c>
      <c r="E569" s="71"/>
      <c r="F569" s="74">
        <f t="shared" si="268"/>
        <v>700</v>
      </c>
      <c r="G569" s="74"/>
      <c r="H569" s="74">
        <f t="shared" si="273"/>
        <v>700</v>
      </c>
      <c r="I569" s="71">
        <v>176</v>
      </c>
      <c r="J569" s="73">
        <v>700</v>
      </c>
      <c r="K569" s="74"/>
      <c r="L569" s="74">
        <f t="shared" si="276"/>
        <v>700</v>
      </c>
      <c r="M569" s="74"/>
      <c r="N569" s="74">
        <f t="shared" si="272"/>
        <v>700</v>
      </c>
      <c r="O569" s="74">
        <v>110</v>
      </c>
      <c r="P569" s="67">
        <f>+N569+M569</f>
        <v>700</v>
      </c>
      <c r="Q569" s="87">
        <f t="shared" si="269"/>
        <v>0</v>
      </c>
      <c r="R569" s="203"/>
    </row>
    <row r="570" spans="1:25" ht="14.1" customHeight="1" x14ac:dyDescent="0.2">
      <c r="A570" s="146">
        <v>81074</v>
      </c>
      <c r="B570" s="147"/>
      <c r="C570" s="207" t="s">
        <v>262</v>
      </c>
      <c r="D570" s="149">
        <v>28136</v>
      </c>
      <c r="E570" s="150">
        <f>+E571+E572</f>
        <v>300</v>
      </c>
      <c r="F570" s="137">
        <f t="shared" si="268"/>
        <v>28436</v>
      </c>
      <c r="G570" s="137">
        <v>0</v>
      </c>
      <c r="H570" s="137">
        <f>+H571+H572</f>
        <v>28436</v>
      </c>
      <c r="I570" s="151">
        <f>+I571+I572</f>
        <v>17410</v>
      </c>
      <c r="J570" s="152">
        <f>+J571+J572</f>
        <v>36235</v>
      </c>
      <c r="K570" s="152">
        <f>+K571+K572</f>
        <v>-7145</v>
      </c>
      <c r="L570" s="152">
        <f>+L571+L572</f>
        <v>29090</v>
      </c>
      <c r="M570" s="152">
        <f t="shared" ref="M570:N570" si="279">+M571+M572</f>
        <v>0</v>
      </c>
      <c r="N570" s="152">
        <f t="shared" si="279"/>
        <v>29090</v>
      </c>
      <c r="O570" s="152">
        <f t="shared" ref="O570:P570" si="280">+O571+O572</f>
        <v>21866</v>
      </c>
      <c r="P570" s="152">
        <f t="shared" si="280"/>
        <v>39828</v>
      </c>
      <c r="Q570" s="87">
        <f t="shared" si="269"/>
        <v>0.36913028532141628</v>
      </c>
      <c r="R570" s="206"/>
    </row>
    <row r="571" spans="1:25" s="167" customFormat="1" ht="14.1" customHeight="1" x14ac:dyDescent="0.2">
      <c r="A571" s="180"/>
      <c r="B571" s="177" t="s">
        <v>101</v>
      </c>
      <c r="C571" s="178" t="s">
        <v>102</v>
      </c>
      <c r="D571" s="43">
        <v>17662</v>
      </c>
      <c r="E571" s="71"/>
      <c r="F571" s="74">
        <f t="shared" si="268"/>
        <v>17662</v>
      </c>
      <c r="G571" s="74"/>
      <c r="H571" s="74">
        <f>+G571+F571</f>
        <v>17662</v>
      </c>
      <c r="I571" s="71">
        <v>13701</v>
      </c>
      <c r="J571" s="73">
        <v>18545</v>
      </c>
      <c r="K571" s="74"/>
      <c r="L571" s="140">
        <f>+K571+J571</f>
        <v>18545</v>
      </c>
      <c r="M571" s="140"/>
      <c r="N571" s="140">
        <f t="shared" ref="N571" si="281">+M571+L571</f>
        <v>18545</v>
      </c>
      <c r="O571" s="140">
        <v>16175</v>
      </c>
      <c r="P571" s="67">
        <v>20407</v>
      </c>
      <c r="Q571" s="87">
        <f t="shared" si="269"/>
        <v>0.10040442167700189</v>
      </c>
      <c r="R571" s="203" t="s">
        <v>844</v>
      </c>
      <c r="S571" s="56"/>
      <c r="T571" s="49" t="s">
        <v>1436</v>
      </c>
      <c r="U571" s="56"/>
      <c r="V571" s="56"/>
      <c r="W571" s="56"/>
      <c r="X571" s="56"/>
      <c r="Y571" s="56"/>
    </row>
    <row r="572" spans="1:25" ht="14.1" customHeight="1" x14ac:dyDescent="0.2">
      <c r="A572" s="89"/>
      <c r="B572" s="95">
        <v>55</v>
      </c>
      <c r="C572" s="96" t="s">
        <v>104</v>
      </c>
      <c r="D572" s="43">
        <v>10474</v>
      </c>
      <c r="E572" s="71">
        <f>+E573+E574+E575+E576+E585+E586+E587+E588+E589+E591+E592</f>
        <v>300</v>
      </c>
      <c r="F572" s="74">
        <f t="shared" si="268"/>
        <v>10774</v>
      </c>
      <c r="G572" s="74"/>
      <c r="H572" s="74">
        <f t="shared" ref="H572:H592" si="282">+G572+F572</f>
        <v>10774</v>
      </c>
      <c r="I572" s="71">
        <f>+I573+I574+I575+I576+I585+I586+I587+I588+I589+I591+I592</f>
        <v>3709</v>
      </c>
      <c r="J572" s="73">
        <f>+J573+J574+J575+J576+J585+J586+J587+J588+J589+J591+J592</f>
        <v>17690</v>
      </c>
      <c r="K572" s="73">
        <f>+K573+K574+K575+K576+K585+K586+K587+K588+K589+K591+K592</f>
        <v>-7145</v>
      </c>
      <c r="L572" s="166">
        <f>+L573+L574+L575+L576+L585+L586+L587+L588+L589+L591+L592</f>
        <v>10545</v>
      </c>
      <c r="M572" s="166">
        <f t="shared" ref="M572:N572" si="283">+M573+M574+M575+M576+M585+M586+M587+M588+M589+M591+M592</f>
        <v>0</v>
      </c>
      <c r="N572" s="166">
        <f t="shared" si="283"/>
        <v>10545</v>
      </c>
      <c r="O572" s="166">
        <f t="shared" ref="O572" si="284">+O573+O574+O575+O576+O585+O586+O587+O588+O589+O591+O592</f>
        <v>5691</v>
      </c>
      <c r="P572" s="166">
        <f>+P573+P574+P575+P576+P585+P586+P587+P588+P589+P591+P592+P590</f>
        <v>19421</v>
      </c>
      <c r="Q572" s="87">
        <f t="shared" si="269"/>
        <v>0.8417259364627786</v>
      </c>
      <c r="R572" s="204"/>
    </row>
    <row r="573" spans="1:25" ht="14.1" customHeight="1" x14ac:dyDescent="0.2">
      <c r="A573" s="89"/>
      <c r="B573" s="90">
        <v>5500</v>
      </c>
      <c r="C573" s="103" t="s">
        <v>180</v>
      </c>
      <c r="D573" s="102">
        <v>400</v>
      </c>
      <c r="E573" s="71"/>
      <c r="F573" s="74">
        <f t="shared" si="268"/>
        <v>400</v>
      </c>
      <c r="G573" s="74"/>
      <c r="H573" s="74">
        <f t="shared" si="282"/>
        <v>400</v>
      </c>
      <c r="I573" s="71">
        <v>21</v>
      </c>
      <c r="J573" s="73">
        <v>400</v>
      </c>
      <c r="K573" s="74"/>
      <c r="L573" s="74">
        <f>+K573+J573</f>
        <v>400</v>
      </c>
      <c r="M573" s="74"/>
      <c r="N573" s="74">
        <f t="shared" ref="N573:N592" si="285">+M573+L573</f>
        <v>400</v>
      </c>
      <c r="O573" s="74">
        <v>128</v>
      </c>
      <c r="P573" s="67">
        <v>400</v>
      </c>
      <c r="Q573" s="87">
        <f t="shared" si="269"/>
        <v>0</v>
      </c>
      <c r="R573" s="203"/>
    </row>
    <row r="574" spans="1:25" ht="14.1" customHeight="1" x14ac:dyDescent="0.2">
      <c r="A574" s="89"/>
      <c r="B574" s="90">
        <v>5503</v>
      </c>
      <c r="C574" s="103" t="s">
        <v>107</v>
      </c>
      <c r="D574" s="102">
        <v>0</v>
      </c>
      <c r="E574" s="71"/>
      <c r="F574" s="74">
        <f t="shared" si="268"/>
        <v>0</v>
      </c>
      <c r="G574" s="74"/>
      <c r="H574" s="74">
        <f t="shared" si="282"/>
        <v>0</v>
      </c>
      <c r="I574" s="71"/>
      <c r="J574" s="73">
        <v>0</v>
      </c>
      <c r="K574" s="74"/>
      <c r="L574" s="74">
        <f t="shared" ref="L574:L592" si="286">+K574+J574</f>
        <v>0</v>
      </c>
      <c r="M574" s="74"/>
      <c r="N574" s="74">
        <f t="shared" si="285"/>
        <v>0</v>
      </c>
      <c r="O574" s="74"/>
      <c r="P574" s="67">
        <f>+N574+M574</f>
        <v>0</v>
      </c>
      <c r="Q574" s="87">
        <v>0</v>
      </c>
      <c r="R574" s="203"/>
    </row>
    <row r="575" spans="1:25" ht="14.1" customHeight="1" x14ac:dyDescent="0.2">
      <c r="A575" s="89"/>
      <c r="B575" s="90">
        <v>5504</v>
      </c>
      <c r="C575" s="103" t="s">
        <v>245</v>
      </c>
      <c r="D575" s="102">
        <v>300</v>
      </c>
      <c r="E575" s="71"/>
      <c r="F575" s="74">
        <f t="shared" si="268"/>
        <v>300</v>
      </c>
      <c r="G575" s="74"/>
      <c r="H575" s="74">
        <f t="shared" si="282"/>
        <v>300</v>
      </c>
      <c r="I575" s="71"/>
      <c r="J575" s="73">
        <v>300</v>
      </c>
      <c r="K575" s="74"/>
      <c r="L575" s="74">
        <f t="shared" si="286"/>
        <v>300</v>
      </c>
      <c r="M575" s="74"/>
      <c r="N575" s="74">
        <f t="shared" si="285"/>
        <v>300</v>
      </c>
      <c r="O575" s="74">
        <v>164</v>
      </c>
      <c r="P575" s="67">
        <f>+N575+M575</f>
        <v>300</v>
      </c>
      <c r="Q575" s="87">
        <f t="shared" si="269"/>
        <v>0</v>
      </c>
      <c r="R575" s="203"/>
    </row>
    <row r="576" spans="1:25" ht="14.1" customHeight="1" x14ac:dyDescent="0.2">
      <c r="A576" s="89"/>
      <c r="B576" s="90">
        <v>5511</v>
      </c>
      <c r="C576" s="72" t="s">
        <v>255</v>
      </c>
      <c r="D576" s="102">
        <v>1644</v>
      </c>
      <c r="E576" s="71"/>
      <c r="F576" s="74">
        <f t="shared" si="268"/>
        <v>1644</v>
      </c>
      <c r="G576" s="74"/>
      <c r="H576" s="74">
        <f t="shared" si="282"/>
        <v>1644</v>
      </c>
      <c r="I576" s="71">
        <f>+I578+I579+I580+I581</f>
        <v>54</v>
      </c>
      <c r="J576" s="73">
        <f>+J578+J579+J580+J581</f>
        <v>1960</v>
      </c>
      <c r="K576" s="73">
        <f t="shared" ref="K576" si="287">+K578+K579+K580+K581</f>
        <v>0</v>
      </c>
      <c r="L576" s="74">
        <f>SUM(L578:L584)</f>
        <v>1960</v>
      </c>
      <c r="M576" s="74">
        <f t="shared" ref="M576:O576" si="288">SUM(M578:M584)</f>
        <v>0</v>
      </c>
      <c r="N576" s="74">
        <f t="shared" si="288"/>
        <v>1960</v>
      </c>
      <c r="O576" s="74">
        <f t="shared" si="288"/>
        <v>77</v>
      </c>
      <c r="P576" s="67">
        <f>SUM(P577:P584)</f>
        <v>9971</v>
      </c>
      <c r="Q576" s="87">
        <f t="shared" si="269"/>
        <v>4.0872448979591836</v>
      </c>
      <c r="R576" s="204"/>
      <c r="S576" s="108" t="s">
        <v>1437</v>
      </c>
    </row>
    <row r="577" spans="1:21" ht="14.1" customHeight="1" x14ac:dyDescent="0.2">
      <c r="A577" s="89"/>
      <c r="B577" s="90"/>
      <c r="C577" s="49" t="s">
        <v>266</v>
      </c>
      <c r="D577" s="102"/>
      <c r="E577" s="71"/>
      <c r="F577" s="74"/>
      <c r="G577" s="74"/>
      <c r="H577" s="74"/>
      <c r="I577" s="71"/>
      <c r="J577" s="73"/>
      <c r="K577" s="73"/>
      <c r="L577" s="74"/>
      <c r="M577" s="74"/>
      <c r="N577" s="74"/>
      <c r="O577" s="74"/>
      <c r="P577" s="155">
        <v>1000</v>
      </c>
      <c r="Q577" s="87"/>
      <c r="R577" s="204" t="s">
        <v>1438</v>
      </c>
      <c r="S577" s="171"/>
    </row>
    <row r="578" spans="1:21" ht="14.1" customHeight="1" x14ac:dyDescent="0.2">
      <c r="A578" s="89"/>
      <c r="B578" s="90"/>
      <c r="C578" s="154" t="s">
        <v>121</v>
      </c>
      <c r="D578" s="157">
        <v>1300</v>
      </c>
      <c r="E578" s="71"/>
      <c r="F578" s="74">
        <f t="shared" si="268"/>
        <v>1300</v>
      </c>
      <c r="G578" s="74"/>
      <c r="H578" s="153">
        <f t="shared" si="282"/>
        <v>1300</v>
      </c>
      <c r="I578" s="158"/>
      <c r="J578" s="159">
        <v>1560</v>
      </c>
      <c r="K578" s="153"/>
      <c r="L578" s="153">
        <f t="shared" si="286"/>
        <v>1560</v>
      </c>
      <c r="M578" s="153"/>
      <c r="N578" s="153">
        <f t="shared" si="285"/>
        <v>1560</v>
      </c>
      <c r="O578" s="153"/>
      <c r="P578" s="155">
        <v>2000</v>
      </c>
      <c r="Q578" s="87">
        <f t="shared" si="269"/>
        <v>0.28205128205128205</v>
      </c>
      <c r="R578" s="204"/>
      <c r="S578" s="56" t="s">
        <v>1439</v>
      </c>
      <c r="U578" s="56" t="s">
        <v>1440</v>
      </c>
    </row>
    <row r="579" spans="1:21" ht="14.1" customHeight="1" x14ac:dyDescent="0.2">
      <c r="A579" s="89"/>
      <c r="B579" s="90"/>
      <c r="C579" s="154" t="s">
        <v>122</v>
      </c>
      <c r="D579" s="157">
        <v>144</v>
      </c>
      <c r="E579" s="71"/>
      <c r="F579" s="74">
        <f t="shared" si="268"/>
        <v>144</v>
      </c>
      <c r="G579" s="74"/>
      <c r="H579" s="153">
        <f t="shared" si="282"/>
        <v>144</v>
      </c>
      <c r="I579" s="158"/>
      <c r="J579" s="159">
        <v>200</v>
      </c>
      <c r="K579" s="153"/>
      <c r="L579" s="153">
        <f t="shared" si="286"/>
        <v>200</v>
      </c>
      <c r="M579" s="153"/>
      <c r="N579" s="153">
        <f t="shared" si="285"/>
        <v>200</v>
      </c>
      <c r="O579" s="153"/>
      <c r="P579" s="155">
        <v>250</v>
      </c>
      <c r="Q579" s="87">
        <f t="shared" si="269"/>
        <v>0.25</v>
      </c>
      <c r="R579" s="204"/>
    </row>
    <row r="580" spans="1:21" ht="14.1" customHeight="1" x14ac:dyDescent="0.2">
      <c r="A580" s="89"/>
      <c r="B580" s="90"/>
      <c r="C580" s="154" t="s">
        <v>123</v>
      </c>
      <c r="D580" s="157">
        <v>100</v>
      </c>
      <c r="E580" s="71"/>
      <c r="F580" s="74">
        <f t="shared" si="268"/>
        <v>100</v>
      </c>
      <c r="G580" s="74"/>
      <c r="H580" s="153">
        <f t="shared" si="282"/>
        <v>100</v>
      </c>
      <c r="I580" s="158">
        <v>54</v>
      </c>
      <c r="J580" s="159">
        <v>100</v>
      </c>
      <c r="K580" s="153"/>
      <c r="L580" s="153">
        <f t="shared" si="286"/>
        <v>100</v>
      </c>
      <c r="M580" s="153"/>
      <c r="N580" s="153">
        <f t="shared" si="285"/>
        <v>100</v>
      </c>
      <c r="O580" s="153">
        <v>61</v>
      </c>
      <c r="P580" s="155">
        <v>100</v>
      </c>
      <c r="Q580" s="87">
        <f t="shared" si="269"/>
        <v>0</v>
      </c>
      <c r="R580" s="204"/>
    </row>
    <row r="581" spans="1:21" ht="14.1" customHeight="1" x14ac:dyDescent="0.2">
      <c r="A581" s="89"/>
      <c r="B581" s="90"/>
      <c r="C581" s="154" t="s">
        <v>124</v>
      </c>
      <c r="D581" s="157">
        <v>100</v>
      </c>
      <c r="E581" s="71"/>
      <c r="F581" s="74">
        <f t="shared" si="268"/>
        <v>100</v>
      </c>
      <c r="G581" s="74"/>
      <c r="H581" s="153">
        <f t="shared" si="282"/>
        <v>100</v>
      </c>
      <c r="I581" s="158"/>
      <c r="J581" s="159">
        <v>100</v>
      </c>
      <c r="K581" s="153"/>
      <c r="L581" s="153">
        <f t="shared" si="286"/>
        <v>100</v>
      </c>
      <c r="M581" s="153"/>
      <c r="N581" s="153">
        <f t="shared" si="285"/>
        <v>100</v>
      </c>
      <c r="O581" s="153"/>
      <c r="P581" s="155">
        <v>0</v>
      </c>
      <c r="Q581" s="87">
        <f t="shared" si="269"/>
        <v>-1</v>
      </c>
      <c r="R581" s="204"/>
    </row>
    <row r="582" spans="1:21" ht="14.1" customHeight="1" x14ac:dyDescent="0.2">
      <c r="A582" s="89"/>
      <c r="B582" s="90"/>
      <c r="C582" s="154" t="s">
        <v>267</v>
      </c>
      <c r="D582" s="157"/>
      <c r="E582" s="71"/>
      <c r="F582" s="74"/>
      <c r="G582" s="74"/>
      <c r="H582" s="153"/>
      <c r="I582" s="158"/>
      <c r="J582" s="159"/>
      <c r="K582" s="153"/>
      <c r="L582" s="153"/>
      <c r="M582" s="153"/>
      <c r="N582" s="153"/>
      <c r="O582" s="153"/>
      <c r="P582" s="155">
        <v>100</v>
      </c>
      <c r="Q582" s="87"/>
      <c r="R582" s="204"/>
    </row>
    <row r="583" spans="1:21" ht="14.1" customHeight="1" x14ac:dyDescent="0.2">
      <c r="A583" s="89"/>
      <c r="B583" s="90"/>
      <c r="C583" s="154" t="s">
        <v>198</v>
      </c>
      <c r="D583" s="157"/>
      <c r="E583" s="71"/>
      <c r="F583" s="74"/>
      <c r="G583" s="74"/>
      <c r="H583" s="153"/>
      <c r="I583" s="158"/>
      <c r="J583" s="159"/>
      <c r="K583" s="153"/>
      <c r="L583" s="153"/>
      <c r="M583" s="153"/>
      <c r="N583" s="153"/>
      <c r="O583" s="153"/>
      <c r="P583" s="155">
        <v>6300</v>
      </c>
      <c r="Q583" s="87"/>
      <c r="R583" s="204" t="s">
        <v>1441</v>
      </c>
    </row>
    <row r="584" spans="1:21" ht="14.1" customHeight="1" x14ac:dyDescent="0.2">
      <c r="A584" s="89"/>
      <c r="B584" s="90"/>
      <c r="C584" s="154" t="s">
        <v>268</v>
      </c>
      <c r="D584" s="157"/>
      <c r="E584" s="71"/>
      <c r="F584" s="74"/>
      <c r="G584" s="74"/>
      <c r="H584" s="153"/>
      <c r="I584" s="158"/>
      <c r="J584" s="159"/>
      <c r="K584" s="153"/>
      <c r="L584" s="153">
        <v>0</v>
      </c>
      <c r="M584" s="153"/>
      <c r="N584" s="153">
        <f t="shared" si="285"/>
        <v>0</v>
      </c>
      <c r="O584" s="153">
        <v>16</v>
      </c>
      <c r="P584" s="155">
        <v>221</v>
      </c>
      <c r="Q584" s="87">
        <v>1</v>
      </c>
      <c r="R584" s="204"/>
    </row>
    <row r="585" spans="1:21" ht="14.1" customHeight="1" x14ac:dyDescent="0.2">
      <c r="A585" s="89"/>
      <c r="B585" s="90">
        <v>5513</v>
      </c>
      <c r="C585" s="72" t="s">
        <v>130</v>
      </c>
      <c r="D585" s="102">
        <v>768</v>
      </c>
      <c r="E585" s="71"/>
      <c r="F585" s="74">
        <f t="shared" si="268"/>
        <v>768</v>
      </c>
      <c r="G585" s="74"/>
      <c r="H585" s="74">
        <f t="shared" si="282"/>
        <v>768</v>
      </c>
      <c r="I585" s="71"/>
      <c r="J585" s="73">
        <v>768</v>
      </c>
      <c r="K585" s="74"/>
      <c r="L585" s="74">
        <f t="shared" si="286"/>
        <v>768</v>
      </c>
      <c r="M585" s="74"/>
      <c r="N585" s="74">
        <f t="shared" si="285"/>
        <v>768</v>
      </c>
      <c r="O585" s="74">
        <v>471</v>
      </c>
      <c r="P585" s="67">
        <v>800</v>
      </c>
      <c r="Q585" s="87">
        <f t="shared" si="269"/>
        <v>4.1666666666666664E-2</v>
      </c>
    </row>
    <row r="586" spans="1:21" ht="14.1" customHeight="1" x14ac:dyDescent="0.2">
      <c r="A586" s="89"/>
      <c r="B586" s="90">
        <v>5514</v>
      </c>
      <c r="C586" s="72" t="s">
        <v>112</v>
      </c>
      <c r="D586" s="102">
        <v>612</v>
      </c>
      <c r="E586" s="71"/>
      <c r="F586" s="74">
        <f t="shared" si="268"/>
        <v>612</v>
      </c>
      <c r="G586" s="74"/>
      <c r="H586" s="74">
        <f t="shared" si="282"/>
        <v>612</v>
      </c>
      <c r="I586" s="71">
        <v>549</v>
      </c>
      <c r="J586" s="73">
        <v>612</v>
      </c>
      <c r="K586" s="74"/>
      <c r="L586" s="74">
        <f t="shared" si="286"/>
        <v>612</v>
      </c>
      <c r="M586" s="74"/>
      <c r="N586" s="74">
        <f t="shared" si="285"/>
        <v>612</v>
      </c>
      <c r="O586" s="74">
        <v>511</v>
      </c>
      <c r="P586" s="67">
        <f>600+250</f>
        <v>850</v>
      </c>
      <c r="Q586" s="87">
        <f t="shared" si="269"/>
        <v>0.3888888888888889</v>
      </c>
      <c r="R586" s="206" t="s">
        <v>1129</v>
      </c>
    </row>
    <row r="587" spans="1:21" ht="14.1" customHeight="1" x14ac:dyDescent="0.2">
      <c r="A587" s="89"/>
      <c r="B587" s="90">
        <v>5515</v>
      </c>
      <c r="C587" s="72" t="s">
        <v>133</v>
      </c>
      <c r="D587" s="102">
        <v>500</v>
      </c>
      <c r="E587" s="71"/>
      <c r="F587" s="74">
        <f t="shared" si="268"/>
        <v>500</v>
      </c>
      <c r="G587" s="74"/>
      <c r="H587" s="74">
        <f t="shared" si="282"/>
        <v>500</v>
      </c>
      <c r="I587" s="71">
        <v>3</v>
      </c>
      <c r="J587" s="73">
        <v>500</v>
      </c>
      <c r="K587" s="74"/>
      <c r="L587" s="74">
        <f t="shared" si="286"/>
        <v>500</v>
      </c>
      <c r="M587" s="74"/>
      <c r="N587" s="74">
        <f t="shared" si="285"/>
        <v>500</v>
      </c>
      <c r="O587" s="74"/>
      <c r="P587" s="67">
        <v>600</v>
      </c>
      <c r="Q587" s="87">
        <f t="shared" si="269"/>
        <v>0.2</v>
      </c>
      <c r="R587" s="203"/>
    </row>
    <row r="588" spans="1:21" ht="14.1" customHeight="1" x14ac:dyDescent="0.2">
      <c r="A588" s="89"/>
      <c r="B588" s="90">
        <v>5521</v>
      </c>
      <c r="C588" s="72" t="s">
        <v>263</v>
      </c>
      <c r="D588" s="102">
        <v>0</v>
      </c>
      <c r="E588" s="71"/>
      <c r="F588" s="74">
        <f t="shared" si="268"/>
        <v>0</v>
      </c>
      <c r="G588" s="74"/>
      <c r="H588" s="74">
        <f t="shared" si="282"/>
        <v>0</v>
      </c>
      <c r="I588" s="71"/>
      <c r="J588" s="73">
        <v>0</v>
      </c>
      <c r="K588" s="74"/>
      <c r="L588" s="74">
        <f t="shared" si="286"/>
        <v>0</v>
      </c>
      <c r="M588" s="74"/>
      <c r="N588" s="74">
        <f t="shared" si="285"/>
        <v>0</v>
      </c>
      <c r="O588" s="74"/>
      <c r="P588" s="67">
        <v>150</v>
      </c>
      <c r="Q588" s="87" t="e">
        <f t="shared" si="269"/>
        <v>#DIV/0!</v>
      </c>
      <c r="R588" s="203"/>
    </row>
    <row r="589" spans="1:21" ht="14.1" customHeight="1" x14ac:dyDescent="0.2">
      <c r="A589" s="89"/>
      <c r="B589" s="90">
        <v>5522</v>
      </c>
      <c r="C589" s="103" t="s">
        <v>137</v>
      </c>
      <c r="D589" s="102">
        <v>50</v>
      </c>
      <c r="E589" s="71"/>
      <c r="F589" s="74">
        <f t="shared" ref="F589:F623" si="289">+E589+D589</f>
        <v>50</v>
      </c>
      <c r="G589" s="74"/>
      <c r="H589" s="74">
        <f t="shared" si="282"/>
        <v>50</v>
      </c>
      <c r="I589" s="71">
        <v>25</v>
      </c>
      <c r="J589" s="73">
        <v>50</v>
      </c>
      <c r="K589" s="74"/>
      <c r="L589" s="74">
        <f t="shared" si="286"/>
        <v>50</v>
      </c>
      <c r="M589" s="74"/>
      <c r="N589" s="74">
        <f t="shared" si="285"/>
        <v>50</v>
      </c>
      <c r="O589" s="74"/>
      <c r="P589" s="67">
        <v>100</v>
      </c>
      <c r="Q589" s="87">
        <f t="shared" si="269"/>
        <v>1</v>
      </c>
      <c r="R589" s="203"/>
    </row>
    <row r="590" spans="1:21" ht="14.1" customHeight="1" x14ac:dyDescent="0.2">
      <c r="A590" s="89"/>
      <c r="B590" s="90">
        <v>5524</v>
      </c>
      <c r="C590" s="103" t="s">
        <v>932</v>
      </c>
      <c r="D590" s="102"/>
      <c r="E590" s="71"/>
      <c r="F590" s="74"/>
      <c r="G590" s="74"/>
      <c r="H590" s="74"/>
      <c r="I590" s="71"/>
      <c r="J590" s="73"/>
      <c r="K590" s="74"/>
      <c r="L590" s="74"/>
      <c r="M590" s="74"/>
      <c r="N590" s="74"/>
      <c r="O590" s="74"/>
      <c r="P590" s="67">
        <v>150</v>
      </c>
      <c r="Q590" s="87"/>
      <c r="R590" s="203" t="s">
        <v>1442</v>
      </c>
    </row>
    <row r="591" spans="1:21" ht="14.1" customHeight="1" x14ac:dyDescent="0.2">
      <c r="A591" s="89"/>
      <c r="B591" s="90">
        <v>5525</v>
      </c>
      <c r="C591" s="72" t="s">
        <v>139</v>
      </c>
      <c r="D591" s="102">
        <v>5100</v>
      </c>
      <c r="E591" s="71">
        <v>300</v>
      </c>
      <c r="F591" s="74">
        <f t="shared" si="289"/>
        <v>5400</v>
      </c>
      <c r="G591" s="74"/>
      <c r="H591" s="74">
        <f t="shared" si="282"/>
        <v>5400</v>
      </c>
      <c r="I591" s="71">
        <v>2944</v>
      </c>
      <c r="J591" s="73">
        <v>12000</v>
      </c>
      <c r="K591" s="74">
        <v>-7145</v>
      </c>
      <c r="L591" s="74">
        <f t="shared" si="286"/>
        <v>4855</v>
      </c>
      <c r="M591" s="74"/>
      <c r="N591" s="74">
        <f t="shared" si="285"/>
        <v>4855</v>
      </c>
      <c r="O591" s="74">
        <v>3838</v>
      </c>
      <c r="P591" s="67">
        <v>5000</v>
      </c>
      <c r="Q591" s="87">
        <f t="shared" si="269"/>
        <v>2.9866117404737384E-2</v>
      </c>
      <c r="R591" s="203"/>
    </row>
    <row r="592" spans="1:21" ht="14.1" customHeight="1" x14ac:dyDescent="0.2">
      <c r="A592" s="89"/>
      <c r="B592" s="90">
        <v>5540</v>
      </c>
      <c r="C592" s="56" t="s">
        <v>256</v>
      </c>
      <c r="D592" s="102">
        <v>1100</v>
      </c>
      <c r="E592" s="71"/>
      <c r="F592" s="74">
        <f t="shared" si="289"/>
        <v>1100</v>
      </c>
      <c r="G592" s="74"/>
      <c r="H592" s="74">
        <f t="shared" si="282"/>
        <v>1100</v>
      </c>
      <c r="I592" s="71">
        <v>113</v>
      </c>
      <c r="J592" s="73">
        <v>1100</v>
      </c>
      <c r="K592" s="74"/>
      <c r="L592" s="74">
        <f t="shared" si="286"/>
        <v>1100</v>
      </c>
      <c r="M592" s="74"/>
      <c r="N592" s="74">
        <f t="shared" si="285"/>
        <v>1100</v>
      </c>
      <c r="O592" s="74">
        <v>502</v>
      </c>
      <c r="P592" s="67">
        <f>+N592+M592</f>
        <v>1100</v>
      </c>
      <c r="Q592" s="87">
        <f t="shared" si="269"/>
        <v>0</v>
      </c>
      <c r="R592" s="203"/>
    </row>
    <row r="593" spans="1:21" ht="14.1" customHeight="1" x14ac:dyDescent="0.2">
      <c r="A593" s="146" t="s">
        <v>264</v>
      </c>
      <c r="B593" s="147"/>
      <c r="C593" s="148" t="s">
        <v>265</v>
      </c>
      <c r="D593" s="149">
        <v>38164</v>
      </c>
      <c r="E593" s="150"/>
      <c r="F593" s="137">
        <f t="shared" si="289"/>
        <v>38164</v>
      </c>
      <c r="G593" s="137">
        <v>0</v>
      </c>
      <c r="H593" s="137">
        <f>+H594+H595</f>
        <v>38164</v>
      </c>
      <c r="I593" s="151">
        <f>+I594+I595</f>
        <v>24070</v>
      </c>
      <c r="J593" s="152">
        <f>+J594+J595</f>
        <v>35297</v>
      </c>
      <c r="K593" s="152">
        <f t="shared" ref="K593:L593" si="290">+K594+K595</f>
        <v>-1145</v>
      </c>
      <c r="L593" s="152">
        <f t="shared" si="290"/>
        <v>34152</v>
      </c>
      <c r="M593" s="152">
        <f t="shared" ref="M593:N593" si="291">+M594+M595</f>
        <v>0</v>
      </c>
      <c r="N593" s="152">
        <f t="shared" si="291"/>
        <v>34152</v>
      </c>
      <c r="O593" s="152">
        <f t="shared" ref="O593:P593" si="292">+O594+O595</f>
        <v>23370</v>
      </c>
      <c r="P593" s="152">
        <f t="shared" si="292"/>
        <v>44014</v>
      </c>
      <c r="Q593" s="87">
        <f t="shared" si="269"/>
        <v>0.28876786132583743</v>
      </c>
      <c r="R593" s="203" t="s">
        <v>851</v>
      </c>
    </row>
    <row r="594" spans="1:21" ht="14.1" customHeight="1" x14ac:dyDescent="0.2">
      <c r="A594" s="89"/>
      <c r="B594" s="95">
        <v>50</v>
      </c>
      <c r="C594" s="178" t="s">
        <v>102</v>
      </c>
      <c r="D594" s="43">
        <v>17662</v>
      </c>
      <c r="E594" s="71"/>
      <c r="F594" s="98">
        <f t="shared" si="289"/>
        <v>17662</v>
      </c>
      <c r="G594" s="98"/>
      <c r="H594" s="98">
        <f>+G594+F594</f>
        <v>17662</v>
      </c>
      <c r="I594" s="97">
        <v>15029</v>
      </c>
      <c r="J594" s="73">
        <v>18545</v>
      </c>
      <c r="K594" s="74"/>
      <c r="L594" s="140">
        <f>+K594+J594</f>
        <v>18545</v>
      </c>
      <c r="M594" s="140"/>
      <c r="N594" s="140">
        <f t="shared" ref="N594" si="293">+M594+L594</f>
        <v>18545</v>
      </c>
      <c r="O594" s="140">
        <v>15386</v>
      </c>
      <c r="P594" s="67">
        <v>20407</v>
      </c>
      <c r="Q594" s="87">
        <f t="shared" si="269"/>
        <v>0.10040442167700189</v>
      </c>
      <c r="R594" s="203" t="s">
        <v>844</v>
      </c>
      <c r="S594" s="108"/>
      <c r="T594" s="49" t="s">
        <v>1436</v>
      </c>
    </row>
    <row r="595" spans="1:21" ht="14.1" customHeight="1" x14ac:dyDescent="0.2">
      <c r="A595" s="89"/>
      <c r="B595" s="95">
        <v>55</v>
      </c>
      <c r="C595" s="96" t="s">
        <v>104</v>
      </c>
      <c r="D595" s="43">
        <v>20502</v>
      </c>
      <c r="E595" s="71"/>
      <c r="F595" s="98">
        <f t="shared" si="289"/>
        <v>20502</v>
      </c>
      <c r="G595" s="98"/>
      <c r="H595" s="98">
        <f t="shared" ref="H595:H613" si="294">+G595+F595</f>
        <v>20502</v>
      </c>
      <c r="I595" s="97">
        <f>+I596+I597+I598+I607+I608+I609+I610+I611+I612+I613</f>
        <v>9041</v>
      </c>
      <c r="J595" s="73">
        <f>+J596+J597+J598+J607+J608+J609+J610+J611+J612+J613</f>
        <v>16752</v>
      </c>
      <c r="K595" s="73">
        <f>+K596+K597+K598+K607+K608+K609+K610+K611+K612+K613</f>
        <v>-1145</v>
      </c>
      <c r="L595" s="141">
        <f>+L596+L597+L598+L607+L608+L609+L610+L611+L612+L613</f>
        <v>15607</v>
      </c>
      <c r="M595" s="141">
        <f t="shared" ref="M595:N595" si="295">+M596+M597+M598+M607+M608+M609+M610+M611+M612+M613</f>
        <v>0</v>
      </c>
      <c r="N595" s="141">
        <f t="shared" si="295"/>
        <v>15607</v>
      </c>
      <c r="O595" s="141">
        <f t="shared" ref="O595" si="296">+O596+O597+O598+O607+O608+O609+O610+O611+O612+O613</f>
        <v>7984</v>
      </c>
      <c r="P595" s="141">
        <f t="shared" ref="P595" si="297">+P596+P597+P598+P607+P608+P609+P610+P611+P612+P613</f>
        <v>23607</v>
      </c>
      <c r="Q595" s="87">
        <f t="shared" si="269"/>
        <v>0.51259050426090857</v>
      </c>
      <c r="R595" s="203"/>
    </row>
    <row r="596" spans="1:21" ht="14.1" customHeight="1" x14ac:dyDescent="0.2">
      <c r="A596" s="89"/>
      <c r="B596" s="90">
        <v>5500</v>
      </c>
      <c r="C596" s="72" t="s">
        <v>180</v>
      </c>
      <c r="D596" s="102">
        <v>700</v>
      </c>
      <c r="E596" s="71"/>
      <c r="F596" s="74">
        <f t="shared" si="289"/>
        <v>700</v>
      </c>
      <c r="G596" s="74"/>
      <c r="H596" s="74">
        <f t="shared" si="294"/>
        <v>700</v>
      </c>
      <c r="I596" s="71">
        <v>207</v>
      </c>
      <c r="J596" s="73">
        <v>700</v>
      </c>
      <c r="K596" s="74"/>
      <c r="L596" s="74">
        <v>700</v>
      </c>
      <c r="M596" s="74"/>
      <c r="N596" s="74">
        <f>+L596+M596</f>
        <v>700</v>
      </c>
      <c r="O596" s="74">
        <v>71</v>
      </c>
      <c r="P596" s="67">
        <v>500</v>
      </c>
      <c r="Q596" s="87">
        <f t="shared" si="269"/>
        <v>-0.2857142857142857</v>
      </c>
      <c r="R596" s="203"/>
    </row>
    <row r="597" spans="1:21" ht="14.1" customHeight="1" x14ac:dyDescent="0.2">
      <c r="A597" s="89"/>
      <c r="B597" s="90">
        <v>5504</v>
      </c>
      <c r="C597" s="72" t="s">
        <v>118</v>
      </c>
      <c r="D597" s="102">
        <v>300</v>
      </c>
      <c r="E597" s="71"/>
      <c r="F597" s="74">
        <f t="shared" si="289"/>
        <v>300</v>
      </c>
      <c r="G597" s="74"/>
      <c r="H597" s="74">
        <f t="shared" si="294"/>
        <v>300</v>
      </c>
      <c r="I597" s="71"/>
      <c r="J597" s="73"/>
      <c r="K597" s="74"/>
      <c r="L597" s="74"/>
      <c r="M597" s="74"/>
      <c r="N597" s="74">
        <f>+L597+M597</f>
        <v>0</v>
      </c>
      <c r="O597" s="74">
        <v>55</v>
      </c>
      <c r="P597" s="67">
        <v>300</v>
      </c>
      <c r="Q597" s="87">
        <v>1</v>
      </c>
      <c r="R597" s="203"/>
    </row>
    <row r="598" spans="1:21" ht="14.1" customHeight="1" x14ac:dyDescent="0.2">
      <c r="A598" s="89"/>
      <c r="B598" s="90">
        <v>5511</v>
      </c>
      <c r="C598" s="72" t="s">
        <v>255</v>
      </c>
      <c r="D598" s="102">
        <v>11192</v>
      </c>
      <c r="E598" s="71"/>
      <c r="F598" s="74">
        <f t="shared" si="289"/>
        <v>11192</v>
      </c>
      <c r="G598" s="74"/>
      <c r="H598" s="74">
        <f t="shared" si="294"/>
        <v>11192</v>
      </c>
      <c r="I598" s="71">
        <f>+I599+I600+I601+I602+I603+I604+I605+I606</f>
        <v>4329</v>
      </c>
      <c r="J598" s="73">
        <f>SUM(J599:J606)</f>
        <v>7692</v>
      </c>
      <c r="K598" s="74"/>
      <c r="L598" s="74">
        <f>SUM(L599:L606)</f>
        <v>7692</v>
      </c>
      <c r="M598" s="74">
        <f t="shared" ref="M598:O598" si="298">SUM(M599:M606)</f>
        <v>0</v>
      </c>
      <c r="N598" s="74">
        <f t="shared" si="298"/>
        <v>7692</v>
      </c>
      <c r="O598" s="74">
        <f t="shared" si="298"/>
        <v>4668</v>
      </c>
      <c r="P598" s="67">
        <f t="shared" ref="P598" si="299">SUM(P599:P606)</f>
        <v>15707</v>
      </c>
      <c r="Q598" s="87">
        <f t="shared" si="269"/>
        <v>1.0419916796671866</v>
      </c>
      <c r="R598" s="203"/>
    </row>
    <row r="599" spans="1:21" s="49" customFormat="1" ht="14.1" customHeight="1" x14ac:dyDescent="0.2">
      <c r="A599" s="184"/>
      <c r="B599" s="185"/>
      <c r="C599" s="49" t="s">
        <v>266</v>
      </c>
      <c r="D599" s="157"/>
      <c r="E599" s="158"/>
      <c r="F599" s="153">
        <f t="shared" si="289"/>
        <v>0</v>
      </c>
      <c r="G599" s="153"/>
      <c r="H599" s="153">
        <f t="shared" si="294"/>
        <v>0</v>
      </c>
      <c r="I599" s="158">
        <v>228</v>
      </c>
      <c r="J599" s="159"/>
      <c r="K599" s="153"/>
      <c r="L599" s="153"/>
      <c r="M599" s="153"/>
      <c r="N599" s="153">
        <f>+L599+M599</f>
        <v>0</v>
      </c>
      <c r="O599" s="153"/>
      <c r="P599" s="155">
        <f>+M599+N599</f>
        <v>0</v>
      </c>
      <c r="Q599" s="87">
        <v>0</v>
      </c>
      <c r="R599" s="203"/>
    </row>
    <row r="600" spans="1:21" s="49" customFormat="1" ht="14.1" customHeight="1" x14ac:dyDescent="0.2">
      <c r="A600" s="184"/>
      <c r="B600" s="185"/>
      <c r="C600" s="154" t="s">
        <v>121</v>
      </c>
      <c r="D600" s="157">
        <v>5000</v>
      </c>
      <c r="E600" s="158"/>
      <c r="F600" s="153">
        <f t="shared" si="289"/>
        <v>5000</v>
      </c>
      <c r="G600" s="153"/>
      <c r="H600" s="153">
        <f t="shared" si="294"/>
        <v>5000</v>
      </c>
      <c r="I600" s="158">
        <v>3095</v>
      </c>
      <c r="J600" s="159">
        <v>6000</v>
      </c>
      <c r="K600" s="153"/>
      <c r="L600" s="153">
        <v>6000</v>
      </c>
      <c r="M600" s="153"/>
      <c r="N600" s="153">
        <f t="shared" ref="N600:N606" si="300">+L600+M600</f>
        <v>6000</v>
      </c>
      <c r="O600" s="153">
        <v>4205</v>
      </c>
      <c r="P600" s="155">
        <v>15000</v>
      </c>
      <c r="Q600" s="87">
        <f t="shared" si="269"/>
        <v>1.5</v>
      </c>
      <c r="R600" s="203" t="s">
        <v>852</v>
      </c>
      <c r="U600" s="49" t="s">
        <v>1443</v>
      </c>
    </row>
    <row r="601" spans="1:21" s="49" customFormat="1" ht="14.1" customHeight="1" x14ac:dyDescent="0.2">
      <c r="A601" s="184"/>
      <c r="B601" s="185"/>
      <c r="C601" s="154" t="s">
        <v>122</v>
      </c>
      <c r="D601" s="157">
        <v>0</v>
      </c>
      <c r="E601" s="158"/>
      <c r="F601" s="153">
        <f t="shared" si="289"/>
        <v>0</v>
      </c>
      <c r="G601" s="153"/>
      <c r="H601" s="153">
        <f t="shared" si="294"/>
        <v>0</v>
      </c>
      <c r="I601" s="158">
        <v>50</v>
      </c>
      <c r="J601" s="159">
        <v>100</v>
      </c>
      <c r="K601" s="153"/>
      <c r="L601" s="153">
        <v>100</v>
      </c>
      <c r="M601" s="153"/>
      <c r="N601" s="153">
        <f t="shared" si="300"/>
        <v>100</v>
      </c>
      <c r="O601" s="153">
        <v>64</v>
      </c>
      <c r="P601" s="155">
        <f>+M601+N601</f>
        <v>100</v>
      </c>
      <c r="Q601" s="87">
        <f t="shared" si="269"/>
        <v>0</v>
      </c>
      <c r="R601" s="203"/>
    </row>
    <row r="602" spans="1:21" s="49" customFormat="1" ht="14.1" customHeight="1" x14ac:dyDescent="0.2">
      <c r="A602" s="184"/>
      <c r="B602" s="185"/>
      <c r="C602" s="154" t="s">
        <v>123</v>
      </c>
      <c r="D602" s="157">
        <v>1000</v>
      </c>
      <c r="E602" s="158"/>
      <c r="F602" s="153">
        <f t="shared" si="289"/>
        <v>1000</v>
      </c>
      <c r="G602" s="153"/>
      <c r="H602" s="153">
        <f t="shared" si="294"/>
        <v>1000</v>
      </c>
      <c r="I602" s="158">
        <v>297</v>
      </c>
      <c r="J602" s="159">
        <v>1000</v>
      </c>
      <c r="K602" s="153"/>
      <c r="L602" s="153">
        <v>1000</v>
      </c>
      <c r="M602" s="153"/>
      <c r="N602" s="153">
        <f t="shared" si="300"/>
        <v>1000</v>
      </c>
      <c r="O602" s="153">
        <v>78</v>
      </c>
      <c r="P602" s="155">
        <v>200</v>
      </c>
      <c r="Q602" s="87">
        <f t="shared" si="269"/>
        <v>-0.8</v>
      </c>
      <c r="R602" s="203"/>
    </row>
    <row r="603" spans="1:21" s="49" customFormat="1" ht="14.1" customHeight="1" x14ac:dyDescent="0.2">
      <c r="A603" s="184"/>
      <c r="B603" s="185"/>
      <c r="C603" s="154" t="s">
        <v>124</v>
      </c>
      <c r="D603" s="157">
        <v>400</v>
      </c>
      <c r="E603" s="158"/>
      <c r="F603" s="153">
        <f t="shared" si="289"/>
        <v>400</v>
      </c>
      <c r="G603" s="153"/>
      <c r="H603" s="153">
        <f t="shared" si="294"/>
        <v>400</v>
      </c>
      <c r="I603" s="158">
        <v>563</v>
      </c>
      <c r="J603" s="159">
        <v>400</v>
      </c>
      <c r="K603" s="153"/>
      <c r="L603" s="153">
        <v>400</v>
      </c>
      <c r="M603" s="153"/>
      <c r="N603" s="153">
        <f t="shared" si="300"/>
        <v>400</v>
      </c>
      <c r="O603" s="153">
        <v>70</v>
      </c>
      <c r="P603" s="155">
        <v>100</v>
      </c>
      <c r="Q603" s="87">
        <f t="shared" si="269"/>
        <v>-0.75</v>
      </c>
      <c r="R603" s="203"/>
    </row>
    <row r="604" spans="1:21" s="49" customFormat="1" ht="14.1" customHeight="1" x14ac:dyDescent="0.2">
      <c r="A604" s="184"/>
      <c r="B604" s="185"/>
      <c r="C604" s="154" t="s">
        <v>267</v>
      </c>
      <c r="D604" s="157">
        <v>192</v>
      </c>
      <c r="E604" s="158"/>
      <c r="F604" s="153">
        <f t="shared" si="289"/>
        <v>192</v>
      </c>
      <c r="G604" s="153"/>
      <c r="H604" s="153">
        <f t="shared" si="294"/>
        <v>192</v>
      </c>
      <c r="I604" s="158">
        <v>96</v>
      </c>
      <c r="J604" s="159">
        <v>192</v>
      </c>
      <c r="K604" s="153"/>
      <c r="L604" s="153">
        <v>192</v>
      </c>
      <c r="M604" s="153"/>
      <c r="N604" s="153">
        <f t="shared" si="300"/>
        <v>192</v>
      </c>
      <c r="O604" s="153">
        <v>144</v>
      </c>
      <c r="P604" s="155">
        <v>200</v>
      </c>
      <c r="Q604" s="87">
        <f t="shared" si="269"/>
        <v>4.1666666666666664E-2</v>
      </c>
      <c r="R604" s="203"/>
    </row>
    <row r="605" spans="1:21" s="49" customFormat="1" ht="14.1" customHeight="1" x14ac:dyDescent="0.2">
      <c r="A605" s="184"/>
      <c r="B605" s="185"/>
      <c r="C605" s="154" t="s">
        <v>198</v>
      </c>
      <c r="D605" s="157">
        <v>4600</v>
      </c>
      <c r="E605" s="158"/>
      <c r="F605" s="153">
        <f t="shared" si="289"/>
        <v>4600</v>
      </c>
      <c r="G605" s="153"/>
      <c r="H605" s="153">
        <f t="shared" si="294"/>
        <v>4600</v>
      </c>
      <c r="I605" s="158"/>
      <c r="J605" s="159"/>
      <c r="K605" s="153"/>
      <c r="L605" s="153"/>
      <c r="M605" s="153"/>
      <c r="N605" s="153">
        <f t="shared" si="300"/>
        <v>0</v>
      </c>
      <c r="O605" s="153"/>
      <c r="P605" s="155">
        <f>+M605+N605</f>
        <v>0</v>
      </c>
      <c r="Q605" s="87">
        <v>0</v>
      </c>
      <c r="R605" s="203"/>
    </row>
    <row r="606" spans="1:21" s="49" customFormat="1" ht="14.1" customHeight="1" x14ac:dyDescent="0.2">
      <c r="A606" s="184"/>
      <c r="B606" s="185"/>
      <c r="C606" s="154" t="s">
        <v>268</v>
      </c>
      <c r="D606" s="157">
        <v>0</v>
      </c>
      <c r="E606" s="158"/>
      <c r="F606" s="153">
        <f t="shared" si="289"/>
        <v>0</v>
      </c>
      <c r="G606" s="153"/>
      <c r="H606" s="153">
        <f t="shared" si="294"/>
        <v>0</v>
      </c>
      <c r="I606" s="158"/>
      <c r="J606" s="159"/>
      <c r="K606" s="153"/>
      <c r="L606" s="153"/>
      <c r="M606" s="153"/>
      <c r="N606" s="153">
        <f t="shared" si="300"/>
        <v>0</v>
      </c>
      <c r="O606" s="153">
        <v>107</v>
      </c>
      <c r="P606" s="155">
        <v>107</v>
      </c>
      <c r="Q606" s="87">
        <v>1</v>
      </c>
      <c r="R606" s="203"/>
    </row>
    <row r="607" spans="1:21" ht="14.1" customHeight="1" x14ac:dyDescent="0.2">
      <c r="A607" s="89"/>
      <c r="B607" s="90">
        <v>5513</v>
      </c>
      <c r="C607" s="72" t="s">
        <v>130</v>
      </c>
      <c r="D607" s="102">
        <v>700</v>
      </c>
      <c r="E607" s="71"/>
      <c r="F607" s="74">
        <f t="shared" si="289"/>
        <v>700</v>
      </c>
      <c r="G607" s="74"/>
      <c r="H607" s="74">
        <f t="shared" si="294"/>
        <v>700</v>
      </c>
      <c r="I607" s="71"/>
      <c r="J607" s="73">
        <v>700</v>
      </c>
      <c r="K607" s="74"/>
      <c r="L607" s="74">
        <v>700</v>
      </c>
      <c r="M607" s="74"/>
      <c r="N607" s="74">
        <f t="shared" ref="N607:N611" si="301">+M607+L607</f>
        <v>700</v>
      </c>
      <c r="O607" s="74"/>
      <c r="P607" s="67">
        <v>200</v>
      </c>
      <c r="Q607" s="87">
        <f t="shared" si="269"/>
        <v>-0.7142857142857143</v>
      </c>
      <c r="R607" s="203"/>
    </row>
    <row r="608" spans="1:21" ht="14.1" customHeight="1" x14ac:dyDescent="0.2">
      <c r="A608" s="89"/>
      <c r="B608" s="90">
        <v>5514</v>
      </c>
      <c r="C608" s="72" t="s">
        <v>112</v>
      </c>
      <c r="D608" s="102">
        <v>360</v>
      </c>
      <c r="E608" s="71"/>
      <c r="F608" s="74">
        <f t="shared" si="289"/>
        <v>360</v>
      </c>
      <c r="G608" s="74"/>
      <c r="H608" s="74">
        <f t="shared" si="294"/>
        <v>360</v>
      </c>
      <c r="I608" s="71">
        <v>630</v>
      </c>
      <c r="J608" s="73">
        <v>360</v>
      </c>
      <c r="K608" s="74"/>
      <c r="L608" s="74">
        <v>360</v>
      </c>
      <c r="M608" s="74"/>
      <c r="N608" s="74">
        <f t="shared" si="301"/>
        <v>360</v>
      </c>
      <c r="O608" s="74">
        <v>539</v>
      </c>
      <c r="P608" s="67">
        <f>700+250</f>
        <v>950</v>
      </c>
      <c r="Q608" s="87">
        <f t="shared" si="269"/>
        <v>1.6388888888888888</v>
      </c>
      <c r="R608" s="206" t="s">
        <v>1129</v>
      </c>
    </row>
    <row r="609" spans="1:20" ht="14.1" customHeight="1" x14ac:dyDescent="0.2">
      <c r="A609" s="89"/>
      <c r="B609" s="90">
        <v>5515</v>
      </c>
      <c r="C609" s="72" t="s">
        <v>133</v>
      </c>
      <c r="D609" s="102">
        <v>500</v>
      </c>
      <c r="E609" s="71"/>
      <c r="F609" s="74">
        <f t="shared" si="289"/>
        <v>500</v>
      </c>
      <c r="G609" s="74"/>
      <c r="H609" s="74">
        <f t="shared" si="294"/>
        <v>500</v>
      </c>
      <c r="I609" s="71">
        <v>674</v>
      </c>
      <c r="J609" s="73">
        <v>500</v>
      </c>
      <c r="K609" s="74"/>
      <c r="L609" s="74">
        <v>500</v>
      </c>
      <c r="M609" s="74"/>
      <c r="N609" s="74">
        <f t="shared" si="301"/>
        <v>500</v>
      </c>
      <c r="O609" s="74"/>
      <c r="P609" s="67">
        <v>200</v>
      </c>
      <c r="Q609" s="87">
        <f t="shared" si="269"/>
        <v>-0.6</v>
      </c>
      <c r="R609" s="203" t="s">
        <v>1355</v>
      </c>
      <c r="T609" s="171" t="s">
        <v>1410</v>
      </c>
    </row>
    <row r="610" spans="1:20" ht="14.1" customHeight="1" x14ac:dyDescent="0.2">
      <c r="A610" s="89"/>
      <c r="B610" s="90">
        <v>5521</v>
      </c>
      <c r="C610" s="72" t="s">
        <v>263</v>
      </c>
      <c r="D610" s="102">
        <v>0</v>
      </c>
      <c r="E610" s="71"/>
      <c r="F610" s="74">
        <f t="shared" si="289"/>
        <v>0</v>
      </c>
      <c r="G610" s="74"/>
      <c r="H610" s="74">
        <f t="shared" si="294"/>
        <v>0</v>
      </c>
      <c r="I610" s="71"/>
      <c r="J610" s="73">
        <v>0</v>
      </c>
      <c r="K610" s="74"/>
      <c r="L610" s="74">
        <v>0</v>
      </c>
      <c r="M610" s="74"/>
      <c r="N610" s="74">
        <f t="shared" si="301"/>
        <v>0</v>
      </c>
      <c r="O610" s="74"/>
      <c r="P610" s="67">
        <v>200</v>
      </c>
      <c r="Q610" s="87">
        <v>1</v>
      </c>
      <c r="R610" s="203"/>
    </row>
    <row r="611" spans="1:20" ht="14.1" customHeight="1" x14ac:dyDescent="0.2">
      <c r="A611" s="89"/>
      <c r="B611" s="90">
        <v>5522</v>
      </c>
      <c r="C611" s="72" t="s">
        <v>137</v>
      </c>
      <c r="D611" s="102">
        <v>50</v>
      </c>
      <c r="E611" s="71"/>
      <c r="F611" s="74">
        <f t="shared" si="289"/>
        <v>50</v>
      </c>
      <c r="G611" s="74"/>
      <c r="H611" s="74">
        <f t="shared" si="294"/>
        <v>50</v>
      </c>
      <c r="I611" s="71">
        <v>52</v>
      </c>
      <c r="J611" s="73">
        <v>100</v>
      </c>
      <c r="K611" s="74"/>
      <c r="L611" s="74">
        <v>100</v>
      </c>
      <c r="M611" s="74"/>
      <c r="N611" s="74">
        <f t="shared" si="301"/>
        <v>100</v>
      </c>
      <c r="O611" s="74">
        <v>4</v>
      </c>
      <c r="P611" s="67">
        <v>50</v>
      </c>
      <c r="Q611" s="87">
        <f t="shared" si="269"/>
        <v>-0.5</v>
      </c>
      <c r="R611" s="203"/>
    </row>
    <row r="612" spans="1:20" ht="14.1" customHeight="1" x14ac:dyDescent="0.2">
      <c r="A612" s="89"/>
      <c r="B612" s="90">
        <v>5525</v>
      </c>
      <c r="C612" s="72" t="s">
        <v>139</v>
      </c>
      <c r="D612" s="102">
        <v>6000</v>
      </c>
      <c r="E612" s="71"/>
      <c r="F612" s="74">
        <f t="shared" si="289"/>
        <v>6000</v>
      </c>
      <c r="G612" s="74"/>
      <c r="H612" s="74">
        <f t="shared" si="294"/>
        <v>6000</v>
      </c>
      <c r="I612" s="71">
        <v>2931</v>
      </c>
      <c r="J612" s="73">
        <v>6000</v>
      </c>
      <c r="K612" s="74">
        <v>-1145</v>
      </c>
      <c r="L612" s="74">
        <f>+K612+J612</f>
        <v>4855</v>
      </c>
      <c r="M612" s="74"/>
      <c r="N612" s="74">
        <f t="shared" ref="N612:N613" si="302">+M612+L612</f>
        <v>4855</v>
      </c>
      <c r="O612" s="74">
        <v>2627</v>
      </c>
      <c r="P612" s="67">
        <v>5000</v>
      </c>
      <c r="Q612" s="87">
        <f t="shared" si="269"/>
        <v>2.9866117404737384E-2</v>
      </c>
      <c r="R612" s="203"/>
    </row>
    <row r="613" spans="1:20" ht="12.95" customHeight="1" x14ac:dyDescent="0.2">
      <c r="A613" s="89"/>
      <c r="B613" s="90">
        <v>5540</v>
      </c>
      <c r="C613" s="72" t="s">
        <v>256</v>
      </c>
      <c r="D613" s="102">
        <v>700</v>
      </c>
      <c r="E613" s="71"/>
      <c r="F613" s="74">
        <f t="shared" si="289"/>
        <v>700</v>
      </c>
      <c r="G613" s="74"/>
      <c r="H613" s="74">
        <f t="shared" si="294"/>
        <v>700</v>
      </c>
      <c r="I613" s="71">
        <v>218</v>
      </c>
      <c r="J613" s="73">
        <v>700</v>
      </c>
      <c r="K613" s="74"/>
      <c r="L613" s="74">
        <v>700</v>
      </c>
      <c r="M613" s="74"/>
      <c r="N613" s="74">
        <f t="shared" si="302"/>
        <v>700</v>
      </c>
      <c r="O613" s="74">
        <v>20</v>
      </c>
      <c r="P613" s="67">
        <v>500</v>
      </c>
      <c r="Q613" s="87">
        <f t="shared" si="269"/>
        <v>-0.2857142857142857</v>
      </c>
      <c r="R613" s="203"/>
    </row>
    <row r="614" spans="1:20" ht="14.1" customHeight="1" x14ac:dyDescent="0.2">
      <c r="A614" s="146" t="s">
        <v>269</v>
      </c>
      <c r="B614" s="147"/>
      <c r="C614" s="148" t="s">
        <v>270</v>
      </c>
      <c r="D614" s="149">
        <v>23000</v>
      </c>
      <c r="E614" s="150"/>
      <c r="F614" s="137">
        <f t="shared" si="289"/>
        <v>23000</v>
      </c>
      <c r="G614" s="137">
        <v>0</v>
      </c>
      <c r="H614" s="137">
        <f>+H615+H616</f>
        <v>23000</v>
      </c>
      <c r="I614" s="151">
        <f>+I615+I616</f>
        <v>21477</v>
      </c>
      <c r="J614" s="152">
        <f>+J615+J616</f>
        <v>21500</v>
      </c>
      <c r="K614" s="152">
        <f>+K615+K616</f>
        <v>-1000</v>
      </c>
      <c r="L614" s="152">
        <f>+L615+L616</f>
        <v>20500</v>
      </c>
      <c r="M614" s="152">
        <f t="shared" ref="M614:N614" si="303">+M615+M616</f>
        <v>4032</v>
      </c>
      <c r="N614" s="152">
        <f t="shared" si="303"/>
        <v>24532</v>
      </c>
      <c r="O614" s="152">
        <f t="shared" ref="O614:P614" si="304">+O615+O616</f>
        <v>25390</v>
      </c>
      <c r="P614" s="152">
        <f t="shared" si="304"/>
        <v>29300</v>
      </c>
      <c r="Q614" s="87">
        <f t="shared" si="269"/>
        <v>0.19435838904288277</v>
      </c>
      <c r="R614" s="206" t="s">
        <v>1444</v>
      </c>
    </row>
    <row r="615" spans="1:20" ht="14.1" customHeight="1" x14ac:dyDescent="0.2">
      <c r="A615" s="94"/>
      <c r="B615" s="95">
        <v>50</v>
      </c>
      <c r="C615" s="96" t="s">
        <v>102</v>
      </c>
      <c r="D615" s="43">
        <v>10000</v>
      </c>
      <c r="E615" s="71"/>
      <c r="F615" s="98">
        <f t="shared" si="289"/>
        <v>10000</v>
      </c>
      <c r="G615" s="98"/>
      <c r="H615" s="98">
        <f>+G615+F615</f>
        <v>10000</v>
      </c>
      <c r="I615" s="97">
        <v>9303</v>
      </c>
      <c r="J615" s="73">
        <v>12000</v>
      </c>
      <c r="K615" s="74"/>
      <c r="L615" s="140">
        <v>12000</v>
      </c>
      <c r="M615" s="140"/>
      <c r="N615" s="140">
        <f>+L615+M615</f>
        <v>12000</v>
      </c>
      <c r="O615" s="140">
        <v>12752</v>
      </c>
      <c r="P615" s="67">
        <v>13800</v>
      </c>
      <c r="Q615" s="87">
        <f t="shared" si="269"/>
        <v>0.15</v>
      </c>
      <c r="R615" s="203" t="s">
        <v>853</v>
      </c>
      <c r="S615" s="171"/>
    </row>
    <row r="616" spans="1:20" ht="14.1" customHeight="1" x14ac:dyDescent="0.2">
      <c r="A616" s="94"/>
      <c r="B616" s="95">
        <v>55</v>
      </c>
      <c r="C616" s="96" t="s">
        <v>104</v>
      </c>
      <c r="D616" s="43">
        <v>13000</v>
      </c>
      <c r="E616" s="71"/>
      <c r="F616" s="98">
        <f t="shared" si="289"/>
        <v>13000</v>
      </c>
      <c r="G616" s="98"/>
      <c r="H616" s="98">
        <f t="shared" ref="H616:H626" si="305">+G616+F616</f>
        <v>13000</v>
      </c>
      <c r="I616" s="97">
        <f>SUM(I617:I626)</f>
        <v>12174</v>
      </c>
      <c r="J616" s="73">
        <f>SUM(J617:J626)</f>
        <v>9500</v>
      </c>
      <c r="K616" s="73">
        <f>SUM(K617:K626)</f>
        <v>-1000</v>
      </c>
      <c r="L616" s="141">
        <f>SUM(L617:L626)</f>
        <v>8500</v>
      </c>
      <c r="M616" s="141">
        <f t="shared" ref="M616:N616" si="306">SUM(M617:M626)</f>
        <v>4032</v>
      </c>
      <c r="N616" s="141">
        <f t="shared" si="306"/>
        <v>12532</v>
      </c>
      <c r="O616" s="141">
        <f>O617+O618+O619+O621+O622+O623+O624+O625+O626</f>
        <v>12638</v>
      </c>
      <c r="P616" s="141">
        <f>P617+P618+P619+P621+P622+P623+P624+P625+P626</f>
        <v>15500</v>
      </c>
      <c r="Q616" s="87">
        <f t="shared" si="269"/>
        <v>0.23683370571337375</v>
      </c>
      <c r="R616" s="203"/>
    </row>
    <row r="617" spans="1:20" ht="14.1" customHeight="1" x14ac:dyDescent="0.2">
      <c r="A617" s="89"/>
      <c r="B617" s="90">
        <v>5500</v>
      </c>
      <c r="C617" s="72" t="s">
        <v>180</v>
      </c>
      <c r="D617" s="43"/>
      <c r="E617" s="71"/>
      <c r="F617" s="74">
        <f t="shared" si="289"/>
        <v>0</v>
      </c>
      <c r="G617" s="74"/>
      <c r="H617" s="74">
        <f t="shared" si="305"/>
        <v>0</v>
      </c>
      <c r="I617" s="71">
        <v>360</v>
      </c>
      <c r="J617" s="73">
        <v>400</v>
      </c>
      <c r="K617" s="74"/>
      <c r="L617" s="74">
        <v>400</v>
      </c>
      <c r="M617" s="74"/>
      <c r="N617" s="74">
        <v>0</v>
      </c>
      <c r="O617" s="74">
        <v>521</v>
      </c>
      <c r="P617" s="67">
        <v>400</v>
      </c>
      <c r="Q617" s="87" t="e">
        <f t="shared" si="269"/>
        <v>#DIV/0!</v>
      </c>
      <c r="R617" s="203"/>
    </row>
    <row r="618" spans="1:20" ht="14.1" customHeight="1" x14ac:dyDescent="0.2">
      <c r="A618" s="89"/>
      <c r="B618" s="90">
        <v>5504</v>
      </c>
      <c r="C618" s="72" t="s">
        <v>118</v>
      </c>
      <c r="D618" s="43"/>
      <c r="E618" s="71"/>
      <c r="F618" s="74"/>
      <c r="G618" s="74"/>
      <c r="H618" s="74"/>
      <c r="I618" s="71"/>
      <c r="J618" s="73"/>
      <c r="K618" s="74"/>
      <c r="L618" s="74"/>
      <c r="M618" s="74"/>
      <c r="N618" s="74">
        <v>400</v>
      </c>
      <c r="O618" s="74">
        <v>386</v>
      </c>
      <c r="P618" s="67">
        <v>400</v>
      </c>
      <c r="Q618" s="87">
        <v>1</v>
      </c>
      <c r="R618" s="203" t="s">
        <v>854</v>
      </c>
    </row>
    <row r="619" spans="1:20" ht="14.1" customHeight="1" x14ac:dyDescent="0.2">
      <c r="A619" s="89"/>
      <c r="B619" s="90">
        <v>5511</v>
      </c>
      <c r="C619" s="72" t="s">
        <v>255</v>
      </c>
      <c r="D619" s="43"/>
      <c r="E619" s="71"/>
      <c r="F619" s="74">
        <f t="shared" si="289"/>
        <v>0</v>
      </c>
      <c r="G619" s="74"/>
      <c r="H619" s="74">
        <f t="shared" si="305"/>
        <v>0</v>
      </c>
      <c r="I619" s="71">
        <v>80</v>
      </c>
      <c r="J619" s="73">
        <v>100</v>
      </c>
      <c r="K619" s="74"/>
      <c r="L619" s="74">
        <v>100</v>
      </c>
      <c r="M619" s="74"/>
      <c r="N619" s="74">
        <f t="shared" ref="N619:N626" si="307">+M619+L619</f>
        <v>100</v>
      </c>
      <c r="O619" s="74">
        <f>O620</f>
        <v>60</v>
      </c>
      <c r="P619" s="67">
        <f>P620</f>
        <v>100</v>
      </c>
      <c r="Q619" s="87">
        <f t="shared" si="269"/>
        <v>0</v>
      </c>
      <c r="R619" s="203"/>
    </row>
    <row r="620" spans="1:20" ht="14.1" customHeight="1" x14ac:dyDescent="0.2">
      <c r="A620" s="89"/>
      <c r="B620" s="90"/>
      <c r="C620" s="154" t="s">
        <v>123</v>
      </c>
      <c r="D620" s="43"/>
      <c r="E620" s="71"/>
      <c r="F620" s="74"/>
      <c r="G620" s="74"/>
      <c r="H620" s="74"/>
      <c r="I620" s="71"/>
      <c r="J620" s="73"/>
      <c r="K620" s="74"/>
      <c r="L620" s="74"/>
      <c r="M620" s="74"/>
      <c r="N620" s="74"/>
      <c r="O620" s="153">
        <v>60</v>
      </c>
      <c r="P620" s="155">
        <v>100</v>
      </c>
      <c r="Q620" s="87">
        <v>1</v>
      </c>
      <c r="R620" s="203" t="s">
        <v>855</v>
      </c>
    </row>
    <row r="621" spans="1:20" ht="14.1" customHeight="1" x14ac:dyDescent="0.2">
      <c r="A621" s="89"/>
      <c r="B621" s="90">
        <v>5513</v>
      </c>
      <c r="C621" s="72" t="s">
        <v>130</v>
      </c>
      <c r="D621" s="43"/>
      <c r="E621" s="71"/>
      <c r="F621" s="74">
        <f t="shared" si="289"/>
        <v>0</v>
      </c>
      <c r="G621" s="74"/>
      <c r="H621" s="74">
        <f t="shared" si="305"/>
        <v>0</v>
      </c>
      <c r="I621" s="71">
        <v>72</v>
      </c>
      <c r="J621" s="73"/>
      <c r="K621" s="74"/>
      <c r="L621" s="74"/>
      <c r="M621" s="74"/>
      <c r="N621" s="74">
        <f t="shared" si="307"/>
        <v>0</v>
      </c>
      <c r="O621" s="74">
        <v>1252</v>
      </c>
      <c r="P621" s="67">
        <v>1500</v>
      </c>
      <c r="Q621" s="87">
        <v>1</v>
      </c>
      <c r="R621" s="203" t="s">
        <v>856</v>
      </c>
    </row>
    <row r="622" spans="1:20" ht="14.1" customHeight="1" x14ac:dyDescent="0.2">
      <c r="A622" s="89"/>
      <c r="B622" s="90">
        <v>5515</v>
      </c>
      <c r="C622" s="72" t="s">
        <v>133</v>
      </c>
      <c r="D622" s="43"/>
      <c r="E622" s="71"/>
      <c r="F622" s="74">
        <f t="shared" si="289"/>
        <v>0</v>
      </c>
      <c r="G622" s="74"/>
      <c r="H622" s="74">
        <f t="shared" si="305"/>
        <v>0</v>
      </c>
      <c r="I622" s="71"/>
      <c r="J622" s="73"/>
      <c r="K622" s="74"/>
      <c r="L622" s="74"/>
      <c r="M622" s="74"/>
      <c r="N622" s="74">
        <f t="shared" si="307"/>
        <v>0</v>
      </c>
      <c r="O622" s="74"/>
      <c r="P622" s="67">
        <f>+N622+M622</f>
        <v>0</v>
      </c>
      <c r="Q622" s="87">
        <v>0</v>
      </c>
      <c r="R622" s="203"/>
    </row>
    <row r="623" spans="1:20" ht="14.1" customHeight="1" x14ac:dyDescent="0.2">
      <c r="A623" s="89"/>
      <c r="B623" s="90">
        <v>5521</v>
      </c>
      <c r="C623" s="72" t="s">
        <v>263</v>
      </c>
      <c r="D623" s="43"/>
      <c r="E623" s="71"/>
      <c r="F623" s="74">
        <f t="shared" si="289"/>
        <v>0</v>
      </c>
      <c r="G623" s="74"/>
      <c r="H623" s="74">
        <f t="shared" si="305"/>
        <v>0</v>
      </c>
      <c r="I623" s="71">
        <v>2244</v>
      </c>
      <c r="J623" s="73">
        <v>2000</v>
      </c>
      <c r="K623" s="74"/>
      <c r="L623" s="74">
        <v>2000</v>
      </c>
      <c r="M623" s="74"/>
      <c r="N623" s="74">
        <f t="shared" si="307"/>
        <v>2000</v>
      </c>
      <c r="O623" s="74">
        <v>1360</v>
      </c>
      <c r="P623" s="67">
        <f>+N623+M623</f>
        <v>2000</v>
      </c>
      <c r="Q623" s="87">
        <f t="shared" si="269"/>
        <v>0</v>
      </c>
      <c r="R623" s="203"/>
    </row>
    <row r="624" spans="1:20" ht="14.1" customHeight="1" x14ac:dyDescent="0.2">
      <c r="A624" s="89"/>
      <c r="B624" s="90">
        <v>5522</v>
      </c>
      <c r="C624" s="103" t="s">
        <v>137</v>
      </c>
      <c r="D624" s="43"/>
      <c r="E624" s="71"/>
      <c r="F624" s="74">
        <f t="shared" ref="F624:F627" si="308">+E624+D624</f>
        <v>0</v>
      </c>
      <c r="G624" s="74"/>
      <c r="H624" s="74">
        <f t="shared" si="305"/>
        <v>0</v>
      </c>
      <c r="I624" s="71">
        <v>40</v>
      </c>
      <c r="J624" s="73"/>
      <c r="K624" s="74"/>
      <c r="L624" s="74"/>
      <c r="M624" s="74"/>
      <c r="N624" s="74">
        <f t="shared" si="307"/>
        <v>0</v>
      </c>
      <c r="O624" s="74">
        <v>71</v>
      </c>
      <c r="P624" s="67">
        <v>100</v>
      </c>
      <c r="Q624" s="87">
        <v>1</v>
      </c>
      <c r="R624" s="203"/>
    </row>
    <row r="625" spans="1:25" ht="14.1" customHeight="1" x14ac:dyDescent="0.2">
      <c r="A625" s="89"/>
      <c r="B625" s="90">
        <v>5525</v>
      </c>
      <c r="C625" s="72" t="s">
        <v>139</v>
      </c>
      <c r="D625" s="43"/>
      <c r="E625" s="71"/>
      <c r="F625" s="74">
        <f t="shared" si="308"/>
        <v>0</v>
      </c>
      <c r="G625" s="74"/>
      <c r="H625" s="74">
        <f t="shared" si="305"/>
        <v>0</v>
      </c>
      <c r="I625" s="71">
        <v>7140</v>
      </c>
      <c r="J625" s="73">
        <v>6000</v>
      </c>
      <c r="K625" s="74">
        <v>-1000</v>
      </c>
      <c r="L625" s="74">
        <f>+K625+J625</f>
        <v>5000</v>
      </c>
      <c r="M625" s="92">
        <v>4032</v>
      </c>
      <c r="N625" s="74">
        <f t="shared" ref="N625" si="309">+M625+L625</f>
        <v>9032</v>
      </c>
      <c r="O625" s="74">
        <v>8988</v>
      </c>
      <c r="P625" s="67">
        <v>10000</v>
      </c>
      <c r="Q625" s="87">
        <f t="shared" ref="Q625:Q690" si="310">(P625-N625)/N625</f>
        <v>0.10717449069973428</v>
      </c>
      <c r="R625" s="203"/>
    </row>
    <row r="626" spans="1:25" ht="14.1" customHeight="1" x14ac:dyDescent="0.2">
      <c r="A626" s="89"/>
      <c r="B626" s="90">
        <v>5540</v>
      </c>
      <c r="C626" s="56" t="s">
        <v>256</v>
      </c>
      <c r="D626" s="102"/>
      <c r="E626" s="71"/>
      <c r="F626" s="74">
        <f t="shared" si="308"/>
        <v>0</v>
      </c>
      <c r="G626" s="74"/>
      <c r="H626" s="74">
        <f t="shared" si="305"/>
        <v>0</v>
      </c>
      <c r="I626" s="71">
        <v>2238</v>
      </c>
      <c r="J626" s="73">
        <v>1000</v>
      </c>
      <c r="K626" s="74"/>
      <c r="L626" s="74">
        <v>1000</v>
      </c>
      <c r="M626" s="74"/>
      <c r="N626" s="74">
        <f t="shared" si="307"/>
        <v>1000</v>
      </c>
      <c r="O626" s="74"/>
      <c r="P626" s="67">
        <f>+N626+M626</f>
        <v>1000</v>
      </c>
      <c r="Q626" s="87">
        <f t="shared" si="310"/>
        <v>0</v>
      </c>
      <c r="R626" s="203"/>
    </row>
    <row r="627" spans="1:25" ht="13.5" customHeight="1" x14ac:dyDescent="0.2">
      <c r="A627" s="146" t="s">
        <v>271</v>
      </c>
      <c r="B627" s="147"/>
      <c r="C627" s="207" t="s">
        <v>272</v>
      </c>
      <c r="D627" s="149">
        <v>21676</v>
      </c>
      <c r="E627" s="150"/>
      <c r="F627" s="137">
        <f t="shared" si="308"/>
        <v>21676</v>
      </c>
      <c r="G627" s="137">
        <f>+G628</f>
        <v>-7500</v>
      </c>
      <c r="H627" s="137">
        <f>+G627+F627</f>
        <v>14176</v>
      </c>
      <c r="I627" s="151">
        <f>+I628+I629</f>
        <v>14104</v>
      </c>
      <c r="J627" s="152">
        <f>+J628</f>
        <v>0</v>
      </c>
      <c r="K627" s="137">
        <v>0</v>
      </c>
      <c r="L627" s="137">
        <f>+L628+L629</f>
        <v>0</v>
      </c>
      <c r="M627" s="137">
        <f t="shared" ref="M627:N627" si="311">+M628+M629</f>
        <v>0</v>
      </c>
      <c r="N627" s="137">
        <f t="shared" si="311"/>
        <v>0</v>
      </c>
      <c r="O627" s="137">
        <f t="shared" ref="O627:P627" si="312">+O628+O629</f>
        <v>0</v>
      </c>
      <c r="P627" s="137">
        <f t="shared" si="312"/>
        <v>7000</v>
      </c>
      <c r="Q627" s="87" t="e">
        <f t="shared" si="310"/>
        <v>#DIV/0!</v>
      </c>
      <c r="R627" s="206"/>
    </row>
    <row r="628" spans="1:25" ht="13.5" customHeight="1" x14ac:dyDescent="0.2">
      <c r="A628" s="94"/>
      <c r="B628" s="95">
        <v>50</v>
      </c>
      <c r="C628" s="96" t="s">
        <v>102</v>
      </c>
      <c r="D628" s="43">
        <v>21676</v>
      </c>
      <c r="E628" s="71"/>
      <c r="F628" s="96">
        <v>21676</v>
      </c>
      <c r="G628" s="96">
        <v>-7500</v>
      </c>
      <c r="H628" s="96">
        <f>+G628+F628</f>
        <v>14176</v>
      </c>
      <c r="I628" s="97">
        <v>14029</v>
      </c>
      <c r="J628" s="73">
        <v>0</v>
      </c>
      <c r="K628" s="74"/>
      <c r="L628" s="140">
        <v>0</v>
      </c>
      <c r="M628" s="140"/>
      <c r="N628" s="140">
        <f>+L628+M628</f>
        <v>0</v>
      </c>
      <c r="O628" s="140">
        <f>+M628+N628</f>
        <v>0</v>
      </c>
      <c r="P628" s="67">
        <v>0</v>
      </c>
      <c r="Q628" s="87" t="e">
        <f t="shared" si="310"/>
        <v>#DIV/0!</v>
      </c>
      <c r="R628" s="203"/>
    </row>
    <row r="629" spans="1:25" ht="13.5" customHeight="1" x14ac:dyDescent="0.2">
      <c r="A629" s="94"/>
      <c r="B629" s="95">
        <v>55</v>
      </c>
      <c r="C629" s="96" t="s">
        <v>104</v>
      </c>
      <c r="D629" s="43"/>
      <c r="E629" s="71"/>
      <c r="F629" s="72"/>
      <c r="G629" s="72"/>
      <c r="H629" s="72"/>
      <c r="I629" s="71">
        <v>75</v>
      </c>
      <c r="J629" s="73">
        <v>0</v>
      </c>
      <c r="K629" s="74"/>
      <c r="L629" s="141">
        <v>0</v>
      </c>
      <c r="M629" s="141"/>
      <c r="N629" s="141">
        <f>+L629+M629</f>
        <v>0</v>
      </c>
      <c r="O629" s="141">
        <f>+M629+N629</f>
        <v>0</v>
      </c>
      <c r="P629" s="141">
        <f>P630+P631</f>
        <v>7000</v>
      </c>
      <c r="Q629" s="87" t="e">
        <f t="shared" si="310"/>
        <v>#DIV/0!</v>
      </c>
      <c r="R629" s="56"/>
    </row>
    <row r="630" spans="1:25" ht="13.5" customHeight="1" x14ac:dyDescent="0.2">
      <c r="A630" s="94"/>
      <c r="B630" s="90">
        <v>5525</v>
      </c>
      <c r="C630" s="72" t="s">
        <v>139</v>
      </c>
      <c r="D630" s="43"/>
      <c r="E630" s="71"/>
      <c r="F630" s="72"/>
      <c r="G630" s="72"/>
      <c r="H630" s="72"/>
      <c r="I630" s="71"/>
      <c r="J630" s="73"/>
      <c r="K630" s="73"/>
      <c r="L630" s="166"/>
      <c r="M630" s="74"/>
      <c r="N630" s="74"/>
      <c r="O630" s="74"/>
      <c r="P630" s="67">
        <f>5000+1000</f>
        <v>6000</v>
      </c>
      <c r="Q630" s="87"/>
      <c r="R630" s="203" t="s">
        <v>1354</v>
      </c>
    </row>
    <row r="631" spans="1:25" ht="13.5" customHeight="1" x14ac:dyDescent="0.2">
      <c r="A631" s="94"/>
      <c r="B631" s="90">
        <v>5540</v>
      </c>
      <c r="C631" s="56" t="s">
        <v>256</v>
      </c>
      <c r="D631" s="43"/>
      <c r="E631" s="71"/>
      <c r="F631" s="72"/>
      <c r="G631" s="72"/>
      <c r="H631" s="72"/>
      <c r="I631" s="71"/>
      <c r="J631" s="73"/>
      <c r="K631" s="73"/>
      <c r="L631" s="166"/>
      <c r="M631" s="73"/>
      <c r="N631" s="73"/>
      <c r="O631" s="73"/>
      <c r="P631" s="67">
        <v>1000</v>
      </c>
      <c r="Q631" s="87"/>
      <c r="R631" s="203" t="s">
        <v>1603</v>
      </c>
    </row>
    <row r="632" spans="1:25" ht="13.5" customHeight="1" x14ac:dyDescent="0.2">
      <c r="A632" s="164" t="s">
        <v>273</v>
      </c>
      <c r="B632" s="147"/>
      <c r="C632" s="148" t="s">
        <v>274</v>
      </c>
      <c r="D632" s="149">
        <v>125000</v>
      </c>
      <c r="E632" s="151">
        <f>+E633+E634+E635</f>
        <v>2400</v>
      </c>
      <c r="F632" s="137">
        <f t="shared" ref="F632:F671" si="313">+E632+D632</f>
        <v>127400</v>
      </c>
      <c r="G632" s="137">
        <f>+G633</f>
        <v>8400</v>
      </c>
      <c r="H632" s="137">
        <f>+G632+F632</f>
        <v>135800</v>
      </c>
      <c r="I632" s="151">
        <f>+I633+I634+I635</f>
        <v>109578</v>
      </c>
      <c r="J632" s="152">
        <f>+J633+J634+J635</f>
        <v>129500</v>
      </c>
      <c r="K632" s="152">
        <f>+K633+K634+K635</f>
        <v>-15000</v>
      </c>
      <c r="L632" s="152">
        <f>+L633+L634+L635</f>
        <v>114000</v>
      </c>
      <c r="M632" s="152">
        <f t="shared" ref="M632:N632" si="314">+M633+M634+M635</f>
        <v>6150</v>
      </c>
      <c r="N632" s="152">
        <f t="shared" si="314"/>
        <v>120150</v>
      </c>
      <c r="O632" s="152">
        <f t="shared" ref="O632:P632" si="315">+O633+O634+O635</f>
        <v>124309</v>
      </c>
      <c r="P632" s="152">
        <f t="shared" si="315"/>
        <v>160500</v>
      </c>
      <c r="Q632" s="87">
        <f t="shared" si="310"/>
        <v>0.3358302122347066</v>
      </c>
      <c r="R632" s="203"/>
    </row>
    <row r="633" spans="1:25" s="53" customFormat="1" ht="14.1" customHeight="1" x14ac:dyDescent="0.2">
      <c r="A633" s="94"/>
      <c r="B633" s="95">
        <v>45</v>
      </c>
      <c r="C633" s="96" t="s">
        <v>275</v>
      </c>
      <c r="D633" s="43">
        <v>55000</v>
      </c>
      <c r="E633" s="97">
        <v>2400</v>
      </c>
      <c r="F633" s="98">
        <f t="shared" si="313"/>
        <v>57400</v>
      </c>
      <c r="G633" s="98">
        <v>8400</v>
      </c>
      <c r="H633" s="98">
        <f>+G633+F633</f>
        <v>65800</v>
      </c>
      <c r="I633" s="97">
        <v>64415</v>
      </c>
      <c r="J633" s="99">
        <v>57000</v>
      </c>
      <c r="K633" s="98"/>
      <c r="L633" s="139">
        <f>+K633+J633</f>
        <v>57000</v>
      </c>
      <c r="M633" s="109">
        <f>3000+2500+150+500</f>
        <v>6150</v>
      </c>
      <c r="N633" s="139">
        <f t="shared" ref="N633:N647" si="316">+M633+L633</f>
        <v>63150</v>
      </c>
      <c r="O633" s="139">
        <v>69949</v>
      </c>
      <c r="P633" s="139">
        <v>90000</v>
      </c>
      <c r="Q633" s="87">
        <f t="shared" si="310"/>
        <v>0.42517814726840852</v>
      </c>
      <c r="R633" s="209" t="s">
        <v>857</v>
      </c>
      <c r="S633" s="49"/>
      <c r="U633" s="210"/>
      <c r="V633" s="56"/>
      <c r="W633" s="56"/>
      <c r="X633" s="56"/>
      <c r="Y633" s="56"/>
    </row>
    <row r="634" spans="1:25" ht="14.1" customHeight="1" x14ac:dyDescent="0.2">
      <c r="A634" s="89"/>
      <c r="B634" s="95">
        <v>50</v>
      </c>
      <c r="C634" s="96" t="s">
        <v>102</v>
      </c>
      <c r="D634" s="43">
        <v>5000</v>
      </c>
      <c r="E634" s="97"/>
      <c r="F634" s="98">
        <f t="shared" si="313"/>
        <v>5000</v>
      </c>
      <c r="G634" s="98"/>
      <c r="H634" s="98">
        <f t="shared" ref="H634:H647" si="317">+G634+F634</f>
        <v>5000</v>
      </c>
      <c r="I634" s="97">
        <v>200</v>
      </c>
      <c r="J634" s="99">
        <v>5000</v>
      </c>
      <c r="K634" s="98"/>
      <c r="L634" s="182">
        <f t="shared" ref="L634:L647" si="318">+K634+J634</f>
        <v>5000</v>
      </c>
      <c r="M634" s="182"/>
      <c r="N634" s="182">
        <f t="shared" si="316"/>
        <v>5000</v>
      </c>
      <c r="O634" s="182">
        <v>1396</v>
      </c>
      <c r="P634" s="78">
        <v>1500</v>
      </c>
      <c r="Q634" s="87">
        <f t="shared" si="310"/>
        <v>-0.7</v>
      </c>
      <c r="R634" s="203" t="s">
        <v>858</v>
      </c>
    </row>
    <row r="635" spans="1:25" s="53" customFormat="1" ht="14.1" customHeight="1" x14ac:dyDescent="0.2">
      <c r="A635" s="94"/>
      <c r="B635" s="95">
        <v>55</v>
      </c>
      <c r="C635" s="96" t="s">
        <v>104</v>
      </c>
      <c r="D635" s="43">
        <v>65000</v>
      </c>
      <c r="E635" s="97"/>
      <c r="F635" s="98">
        <f t="shared" si="313"/>
        <v>65000</v>
      </c>
      <c r="G635" s="98"/>
      <c r="H635" s="98">
        <f t="shared" si="317"/>
        <v>65000</v>
      </c>
      <c r="I635" s="97">
        <f>SUM(I636:I647)</f>
        <v>44963</v>
      </c>
      <c r="J635" s="99">
        <f>SUM(J636:J647)</f>
        <v>67500</v>
      </c>
      <c r="K635" s="99">
        <f>SUM(K636:K647)</f>
        <v>-15000</v>
      </c>
      <c r="L635" s="170">
        <f>+L636+L638+L641+L643+L644+L645+L646+L647</f>
        <v>52000</v>
      </c>
      <c r="M635" s="170">
        <f t="shared" ref="M635:N635" si="319">+M636+M638+M641+M643+M644+M645+M646+M647</f>
        <v>0</v>
      </c>
      <c r="N635" s="170">
        <f t="shared" si="319"/>
        <v>52000</v>
      </c>
      <c r="O635" s="170">
        <f>+O636+O638+O641+O643+O644+O645+O646+O647+O637+O642</f>
        <v>52964</v>
      </c>
      <c r="P635" s="170">
        <f t="shared" ref="P635" si="320">+P636+P638+P641+P643+P644+P645+P646+P647</f>
        <v>69000</v>
      </c>
      <c r="Q635" s="87">
        <f t="shared" si="310"/>
        <v>0.32692307692307693</v>
      </c>
      <c r="R635" s="206"/>
      <c r="S635" s="56"/>
      <c r="T635" s="56"/>
      <c r="U635" s="56"/>
      <c r="V635" s="56"/>
      <c r="W635" s="56"/>
      <c r="X635" s="56"/>
      <c r="Y635" s="56"/>
    </row>
    <row r="636" spans="1:25" s="53" customFormat="1" ht="14.1" customHeight="1" x14ac:dyDescent="0.2">
      <c r="A636" s="94"/>
      <c r="B636" s="90">
        <v>5500</v>
      </c>
      <c r="C636" s="72" t="s">
        <v>180</v>
      </c>
      <c r="D636" s="102">
        <v>2000</v>
      </c>
      <c r="E636" s="71"/>
      <c r="F636" s="74">
        <f t="shared" si="313"/>
        <v>2000</v>
      </c>
      <c r="G636" s="74"/>
      <c r="H636" s="74">
        <f t="shared" si="317"/>
        <v>2000</v>
      </c>
      <c r="I636" s="71">
        <v>4706</v>
      </c>
      <c r="J636" s="73">
        <v>2000</v>
      </c>
      <c r="K636" s="74"/>
      <c r="L636" s="74">
        <f t="shared" si="318"/>
        <v>2000</v>
      </c>
      <c r="M636" s="74"/>
      <c r="N636" s="74">
        <f t="shared" si="316"/>
        <v>2000</v>
      </c>
      <c r="O636" s="74">
        <v>1440</v>
      </c>
      <c r="P636" s="67">
        <v>1500</v>
      </c>
      <c r="Q636" s="87">
        <f t="shared" si="310"/>
        <v>-0.25</v>
      </c>
      <c r="R636" s="203"/>
      <c r="S636" s="56"/>
      <c r="T636" s="56"/>
      <c r="U636" s="56"/>
      <c r="V636" s="56"/>
      <c r="W636" s="56"/>
      <c r="X636" s="56"/>
      <c r="Y636" s="56"/>
    </row>
    <row r="637" spans="1:25" s="53" customFormat="1" ht="14.1" customHeight="1" x14ac:dyDescent="0.2">
      <c r="A637" s="94"/>
      <c r="B637" s="90">
        <v>5504</v>
      </c>
      <c r="C637" s="72" t="s">
        <v>118</v>
      </c>
      <c r="D637" s="102"/>
      <c r="E637" s="71"/>
      <c r="F637" s="74"/>
      <c r="G637" s="74"/>
      <c r="H637" s="74"/>
      <c r="I637" s="71"/>
      <c r="J637" s="73"/>
      <c r="K637" s="74"/>
      <c r="L637" s="74"/>
      <c r="M637" s="74"/>
      <c r="N637" s="74"/>
      <c r="O637" s="74">
        <v>245</v>
      </c>
      <c r="P637" s="67">
        <v>700</v>
      </c>
      <c r="Q637" s="87">
        <v>1</v>
      </c>
      <c r="R637" s="203" t="s">
        <v>859</v>
      </c>
      <c r="S637" s="56"/>
      <c r="T637" s="56"/>
      <c r="U637" s="56"/>
      <c r="V637" s="56"/>
      <c r="W637" s="56"/>
      <c r="X637" s="56"/>
      <c r="Y637" s="56"/>
    </row>
    <row r="638" spans="1:25" s="53" customFormat="1" ht="14.1" customHeight="1" x14ac:dyDescent="0.2">
      <c r="A638" s="94"/>
      <c r="B638" s="90">
        <v>5511</v>
      </c>
      <c r="C638" s="72" t="s">
        <v>255</v>
      </c>
      <c r="D638" s="102">
        <v>0</v>
      </c>
      <c r="E638" s="71"/>
      <c r="F638" s="74">
        <f t="shared" si="313"/>
        <v>0</v>
      </c>
      <c r="G638" s="74"/>
      <c r="H638" s="74">
        <f t="shared" si="317"/>
        <v>0</v>
      </c>
      <c r="I638" s="71">
        <v>1759</v>
      </c>
      <c r="J638" s="73">
        <v>2000</v>
      </c>
      <c r="K638" s="74"/>
      <c r="L638" s="74">
        <f>SUM(L639:L640)</f>
        <v>2000</v>
      </c>
      <c r="M638" s="74">
        <f t="shared" ref="M638:O638" si="321">SUM(M639:M640)</f>
        <v>0</v>
      </c>
      <c r="N638" s="74">
        <f t="shared" si="321"/>
        <v>2000</v>
      </c>
      <c r="O638" s="74">
        <f t="shared" si="321"/>
        <v>0</v>
      </c>
      <c r="P638" s="67">
        <f t="shared" ref="P638" si="322">SUM(P639:P640)</f>
        <v>0</v>
      </c>
      <c r="Q638" s="87">
        <f t="shared" si="310"/>
        <v>-1</v>
      </c>
      <c r="R638" s="203"/>
      <c r="S638" s="56"/>
      <c r="T638" s="56"/>
      <c r="U638" s="56"/>
      <c r="V638" s="56"/>
      <c r="W638" s="56"/>
      <c r="X638" s="56"/>
      <c r="Y638" s="56"/>
    </row>
    <row r="639" spans="1:25" s="167" customFormat="1" ht="14.1" customHeight="1" x14ac:dyDescent="0.2">
      <c r="A639" s="176"/>
      <c r="B639" s="90"/>
      <c r="C639" s="175" t="s">
        <v>259</v>
      </c>
      <c r="D639" s="102">
        <v>200</v>
      </c>
      <c r="E639" s="71"/>
      <c r="F639" s="153">
        <f t="shared" si="313"/>
        <v>200</v>
      </c>
      <c r="G639" s="153"/>
      <c r="H639" s="153">
        <f t="shared" si="317"/>
        <v>200</v>
      </c>
      <c r="I639" s="158">
        <v>208</v>
      </c>
      <c r="J639" s="159">
        <v>250</v>
      </c>
      <c r="K639" s="153"/>
      <c r="L639" s="153">
        <v>2000</v>
      </c>
      <c r="M639" s="153"/>
      <c r="N639" s="153">
        <f t="shared" si="316"/>
        <v>2000</v>
      </c>
      <c r="O639" s="153"/>
      <c r="P639" s="155">
        <f>P640+P641</f>
        <v>0</v>
      </c>
      <c r="Q639" s="87">
        <f t="shared" si="310"/>
        <v>-1</v>
      </c>
      <c r="R639" s="203"/>
      <c r="S639" s="56"/>
      <c r="T639" s="56"/>
      <c r="U639" s="56"/>
      <c r="V639" s="56"/>
      <c r="W639" s="56"/>
      <c r="X639" s="56"/>
      <c r="Y639" s="56"/>
    </row>
    <row r="640" spans="1:25" s="167" customFormat="1" ht="14.1" customHeight="1" x14ac:dyDescent="0.2">
      <c r="A640" s="176"/>
      <c r="B640" s="90"/>
      <c r="C640" s="175" t="s">
        <v>260</v>
      </c>
      <c r="D640" s="102">
        <v>0</v>
      </c>
      <c r="E640" s="71"/>
      <c r="F640" s="153">
        <f t="shared" si="313"/>
        <v>0</v>
      </c>
      <c r="G640" s="153"/>
      <c r="H640" s="153">
        <f t="shared" si="317"/>
        <v>0</v>
      </c>
      <c r="I640" s="158"/>
      <c r="J640" s="159">
        <v>250</v>
      </c>
      <c r="K640" s="153"/>
      <c r="L640" s="153"/>
      <c r="M640" s="153"/>
      <c r="N640" s="153">
        <f t="shared" si="316"/>
        <v>0</v>
      </c>
      <c r="O640" s="153"/>
      <c r="P640" s="155">
        <v>0</v>
      </c>
      <c r="Q640" s="87">
        <v>0</v>
      </c>
      <c r="R640" s="203"/>
      <c r="S640" s="56"/>
      <c r="T640" s="56"/>
      <c r="U640" s="56"/>
      <c r="V640" s="56"/>
      <c r="W640" s="56"/>
      <c r="X640" s="56"/>
      <c r="Y640" s="56"/>
    </row>
    <row r="641" spans="1:25" s="53" customFormat="1" ht="14.1" customHeight="1" x14ac:dyDescent="0.2">
      <c r="A641" s="94"/>
      <c r="B641" s="90">
        <v>5513</v>
      </c>
      <c r="C641" s="72" t="s">
        <v>130</v>
      </c>
      <c r="D641" s="102">
        <v>0</v>
      </c>
      <c r="E641" s="71"/>
      <c r="F641" s="74">
        <f t="shared" si="313"/>
        <v>0</v>
      </c>
      <c r="G641" s="74"/>
      <c r="H641" s="74">
        <f t="shared" si="317"/>
        <v>0</v>
      </c>
      <c r="I641" s="71"/>
      <c r="J641" s="73"/>
      <c r="K641" s="74"/>
      <c r="L641" s="74">
        <f t="shared" si="318"/>
        <v>0</v>
      </c>
      <c r="M641" s="74"/>
      <c r="N641" s="74">
        <f t="shared" si="316"/>
        <v>0</v>
      </c>
      <c r="O641" s="74"/>
      <c r="P641" s="67">
        <v>0</v>
      </c>
      <c r="Q641" s="87">
        <v>0</v>
      </c>
      <c r="R641" s="203"/>
      <c r="S641" s="56"/>
      <c r="T641" s="56"/>
      <c r="U641" s="56"/>
      <c r="V641" s="56"/>
      <c r="W641" s="56"/>
      <c r="X641" s="56"/>
      <c r="Y641" s="56"/>
    </row>
    <row r="642" spans="1:25" s="53" customFormat="1" ht="14.1" customHeight="1" x14ac:dyDescent="0.2">
      <c r="A642" s="94"/>
      <c r="B642" s="90">
        <v>5514</v>
      </c>
      <c r="C642" s="72" t="s">
        <v>112</v>
      </c>
      <c r="D642" s="102"/>
      <c r="E642" s="71"/>
      <c r="F642" s="74"/>
      <c r="G642" s="74"/>
      <c r="H642" s="74"/>
      <c r="I642" s="71"/>
      <c r="J642" s="73"/>
      <c r="K642" s="74"/>
      <c r="L642" s="74"/>
      <c r="M642" s="74"/>
      <c r="N642" s="74"/>
      <c r="O642" s="74">
        <v>374</v>
      </c>
      <c r="P642" s="67">
        <v>400</v>
      </c>
      <c r="Q642" s="87">
        <v>1</v>
      </c>
      <c r="R642" s="206" t="s">
        <v>860</v>
      </c>
      <c r="S642" s="56"/>
      <c r="T642" s="56"/>
      <c r="U642" s="56"/>
      <c r="V642" s="56"/>
      <c r="W642" s="56"/>
      <c r="X642" s="56"/>
      <c r="Y642" s="56"/>
    </row>
    <row r="643" spans="1:25" s="53" customFormat="1" ht="14.1" customHeight="1" x14ac:dyDescent="0.2">
      <c r="A643" s="94"/>
      <c r="B643" s="90">
        <v>5515</v>
      </c>
      <c r="C643" s="72" t="s">
        <v>133</v>
      </c>
      <c r="D643" s="102">
        <v>2000</v>
      </c>
      <c r="E643" s="71"/>
      <c r="F643" s="74">
        <f t="shared" si="313"/>
        <v>2000</v>
      </c>
      <c r="G643" s="74"/>
      <c r="H643" s="74">
        <f t="shared" si="317"/>
        <v>2000</v>
      </c>
      <c r="I643" s="71"/>
      <c r="J643" s="73">
        <v>2000</v>
      </c>
      <c r="K643" s="74"/>
      <c r="L643" s="74">
        <f t="shared" si="318"/>
        <v>2000</v>
      </c>
      <c r="M643" s="74"/>
      <c r="N643" s="74">
        <f t="shared" si="316"/>
        <v>2000</v>
      </c>
      <c r="O643" s="74"/>
      <c r="P643" s="67">
        <v>0</v>
      </c>
      <c r="Q643" s="87">
        <f t="shared" si="310"/>
        <v>-1</v>
      </c>
      <c r="R643" s="203"/>
      <c r="S643" s="56"/>
      <c r="T643" s="56"/>
      <c r="U643" s="56"/>
      <c r="V643" s="56"/>
      <c r="W643" s="56"/>
      <c r="X643" s="56"/>
      <c r="Y643" s="56"/>
    </row>
    <row r="644" spans="1:25" s="53" customFormat="1" ht="14.1" customHeight="1" x14ac:dyDescent="0.2">
      <c r="A644" s="94"/>
      <c r="B644" s="90">
        <v>5521</v>
      </c>
      <c r="C644" s="72" t="s">
        <v>263</v>
      </c>
      <c r="D644" s="102">
        <v>0</v>
      </c>
      <c r="E644" s="71"/>
      <c r="F644" s="74">
        <f t="shared" si="313"/>
        <v>0</v>
      </c>
      <c r="G644" s="74"/>
      <c r="H644" s="74">
        <f t="shared" si="317"/>
        <v>0</v>
      </c>
      <c r="I644" s="71"/>
      <c r="J644" s="73"/>
      <c r="K644" s="74"/>
      <c r="L644" s="74">
        <f t="shared" si="318"/>
        <v>0</v>
      </c>
      <c r="M644" s="74"/>
      <c r="N644" s="74">
        <f t="shared" si="316"/>
        <v>0</v>
      </c>
      <c r="O644" s="74">
        <v>70</v>
      </c>
      <c r="P644" s="67">
        <v>100</v>
      </c>
      <c r="Q644" s="87">
        <v>0</v>
      </c>
      <c r="R644" s="203" t="s">
        <v>862</v>
      </c>
      <c r="S644" s="56"/>
      <c r="T644" s="56"/>
      <c r="U644" s="56"/>
      <c r="V644" s="56"/>
      <c r="W644" s="56"/>
      <c r="X644" s="56"/>
      <c r="Y644" s="56"/>
    </row>
    <row r="645" spans="1:25" s="53" customFormat="1" ht="14.1" customHeight="1" x14ac:dyDescent="0.2">
      <c r="A645" s="94"/>
      <c r="B645" s="90">
        <v>5522</v>
      </c>
      <c r="C645" s="172" t="s">
        <v>137</v>
      </c>
      <c r="D645" s="102">
        <v>0</v>
      </c>
      <c r="E645" s="71"/>
      <c r="F645" s="74">
        <f t="shared" si="313"/>
        <v>0</v>
      </c>
      <c r="G645" s="74"/>
      <c r="H645" s="74">
        <f t="shared" si="317"/>
        <v>0</v>
      </c>
      <c r="I645" s="71"/>
      <c r="J645" s="73"/>
      <c r="K645" s="74"/>
      <c r="L645" s="74">
        <f t="shared" si="318"/>
        <v>0</v>
      </c>
      <c r="M645" s="74"/>
      <c r="N645" s="74">
        <f t="shared" si="316"/>
        <v>0</v>
      </c>
      <c r="O645" s="74"/>
      <c r="P645" s="67">
        <v>0</v>
      </c>
      <c r="Q645" s="87">
        <v>0</v>
      </c>
      <c r="R645" s="203"/>
      <c r="S645" s="56"/>
      <c r="Y645" s="56"/>
    </row>
    <row r="646" spans="1:25" s="53" customFormat="1" ht="14.1" customHeight="1" x14ac:dyDescent="0.2">
      <c r="A646" s="94"/>
      <c r="B646" s="90">
        <v>5525</v>
      </c>
      <c r="C646" s="72" t="s">
        <v>276</v>
      </c>
      <c r="D646" s="102">
        <v>60000</v>
      </c>
      <c r="E646" s="71"/>
      <c r="F646" s="74">
        <f t="shared" si="313"/>
        <v>60000</v>
      </c>
      <c r="G646" s="74"/>
      <c r="H646" s="74">
        <f t="shared" si="317"/>
        <v>60000</v>
      </c>
      <c r="I646" s="71">
        <v>37952</v>
      </c>
      <c r="J646" s="73">
        <v>60000</v>
      </c>
      <c r="K646" s="74">
        <v>-15000</v>
      </c>
      <c r="L646" s="74">
        <f t="shared" si="318"/>
        <v>45000</v>
      </c>
      <c r="M646" s="74"/>
      <c r="N646" s="74">
        <f t="shared" si="316"/>
        <v>45000</v>
      </c>
      <c r="O646" s="74">
        <v>50142</v>
      </c>
      <c r="P646" s="67">
        <v>67000</v>
      </c>
      <c r="Q646" s="87">
        <f t="shared" si="310"/>
        <v>0.48888888888888887</v>
      </c>
      <c r="R646" s="203" t="s">
        <v>1445</v>
      </c>
      <c r="S646" s="56"/>
      <c r="Y646" s="56"/>
    </row>
    <row r="647" spans="1:25" s="53" customFormat="1" ht="14.1" customHeight="1" x14ac:dyDescent="0.2">
      <c r="A647" s="94"/>
      <c r="B647" s="90">
        <v>5540</v>
      </c>
      <c r="C647" s="56" t="s">
        <v>861</v>
      </c>
      <c r="D647" s="102">
        <v>1000</v>
      </c>
      <c r="E647" s="71"/>
      <c r="F647" s="74">
        <f t="shared" si="313"/>
        <v>1000</v>
      </c>
      <c r="G647" s="74"/>
      <c r="H647" s="74">
        <f t="shared" si="317"/>
        <v>1000</v>
      </c>
      <c r="I647" s="97">
        <v>338</v>
      </c>
      <c r="J647" s="73">
        <v>1000</v>
      </c>
      <c r="K647" s="74"/>
      <c r="L647" s="74">
        <f t="shared" si="318"/>
        <v>1000</v>
      </c>
      <c r="M647" s="74"/>
      <c r="N647" s="74">
        <f t="shared" si="316"/>
        <v>1000</v>
      </c>
      <c r="O647" s="74">
        <v>693</v>
      </c>
      <c r="P647" s="67">
        <v>400</v>
      </c>
      <c r="Q647" s="87">
        <f t="shared" si="310"/>
        <v>-0.6</v>
      </c>
      <c r="S647" s="56"/>
      <c r="Y647" s="56"/>
    </row>
    <row r="648" spans="1:25" ht="14.1" customHeight="1" x14ac:dyDescent="0.2">
      <c r="A648" s="146" t="s">
        <v>675</v>
      </c>
      <c r="B648" s="147"/>
      <c r="C648" s="148" t="s">
        <v>277</v>
      </c>
      <c r="D648" s="149">
        <v>43171</v>
      </c>
      <c r="E648" s="151"/>
      <c r="F648" s="137">
        <f t="shared" si="313"/>
        <v>43171</v>
      </c>
      <c r="G648" s="137">
        <v>0</v>
      </c>
      <c r="H648" s="137">
        <f>+H649+H650+H651</f>
        <v>43171</v>
      </c>
      <c r="I648" s="151">
        <f>+I649+I650+I651</f>
        <v>30236</v>
      </c>
      <c r="J648" s="152">
        <f>+J649+J650+J651</f>
        <v>44378</v>
      </c>
      <c r="K648" s="152">
        <f t="shared" ref="K648:L648" si="323">+K649+K650+K651</f>
        <v>0</v>
      </c>
      <c r="L648" s="152">
        <f t="shared" si="323"/>
        <v>43878</v>
      </c>
      <c r="M648" s="152">
        <f t="shared" ref="M648" si="324">+M649+M650+M651</f>
        <v>0</v>
      </c>
      <c r="N648" s="152">
        <f>+N649+N650+N651</f>
        <v>43878</v>
      </c>
      <c r="O648" s="152">
        <f>+O649+O650+O651</f>
        <v>35731</v>
      </c>
      <c r="P648" s="152">
        <f>+P649+P650+P651</f>
        <v>48479</v>
      </c>
      <c r="Q648" s="87">
        <f t="shared" si="310"/>
        <v>0.10485892702493277</v>
      </c>
      <c r="R648" s="203" t="s">
        <v>863</v>
      </c>
      <c r="W648" s="211" t="s">
        <v>866</v>
      </c>
    </row>
    <row r="649" spans="1:25" ht="14.1" customHeight="1" x14ac:dyDescent="0.2">
      <c r="A649" s="94"/>
      <c r="B649" s="95">
        <v>45</v>
      </c>
      <c r="C649" s="96" t="s">
        <v>278</v>
      </c>
      <c r="D649" s="43">
        <v>0</v>
      </c>
      <c r="E649" s="71"/>
      <c r="F649" s="98">
        <f t="shared" si="313"/>
        <v>0</v>
      </c>
      <c r="G649" s="98"/>
      <c r="H649" s="98">
        <f>+G649+F649</f>
        <v>0</v>
      </c>
      <c r="I649" s="97">
        <v>20</v>
      </c>
      <c r="J649" s="99">
        <v>0</v>
      </c>
      <c r="K649" s="98"/>
      <c r="L649" s="139">
        <v>0</v>
      </c>
      <c r="M649" s="139"/>
      <c r="N649" s="139">
        <f>+L649+M649</f>
        <v>0</v>
      </c>
      <c r="O649" s="139">
        <v>0</v>
      </c>
      <c r="P649" s="139">
        <f>+M649+N649</f>
        <v>0</v>
      </c>
      <c r="Q649" s="87"/>
      <c r="R649" s="203"/>
    </row>
    <row r="650" spans="1:25" ht="14.1" customHeight="1" x14ac:dyDescent="0.2">
      <c r="A650" s="89"/>
      <c r="B650" s="95" t="s">
        <v>101</v>
      </c>
      <c r="C650" s="96" t="s">
        <v>102</v>
      </c>
      <c r="D650" s="43">
        <v>31181</v>
      </c>
      <c r="E650" s="71"/>
      <c r="F650" s="98">
        <f t="shared" si="313"/>
        <v>31181</v>
      </c>
      <c r="G650" s="98"/>
      <c r="H650" s="98">
        <f t="shared" ref="H650:H665" si="325">+G650+F650</f>
        <v>31181</v>
      </c>
      <c r="I650" s="97">
        <f>SUM(I651:I665)</f>
        <v>20144</v>
      </c>
      <c r="J650" s="99">
        <v>32758</v>
      </c>
      <c r="K650" s="98"/>
      <c r="L650" s="182">
        <f>+K650+J650</f>
        <v>32758</v>
      </c>
      <c r="M650" s="182"/>
      <c r="N650" s="182">
        <f t="shared" ref="N650" si="326">+M650+L650</f>
        <v>32758</v>
      </c>
      <c r="O650" s="182">
        <v>26760</v>
      </c>
      <c r="P650" s="78">
        <v>37699</v>
      </c>
      <c r="Q650" s="87">
        <f t="shared" si="310"/>
        <v>0.15083338421149031</v>
      </c>
      <c r="R650" s="203" t="s">
        <v>1604</v>
      </c>
    </row>
    <row r="651" spans="1:25" ht="14.1" customHeight="1" x14ac:dyDescent="0.2">
      <c r="A651" s="89"/>
      <c r="B651" s="95" t="s">
        <v>103</v>
      </c>
      <c r="C651" s="96" t="s">
        <v>104</v>
      </c>
      <c r="D651" s="43">
        <v>11990</v>
      </c>
      <c r="E651" s="71"/>
      <c r="F651" s="98">
        <f t="shared" si="313"/>
        <v>11990</v>
      </c>
      <c r="G651" s="98"/>
      <c r="H651" s="98">
        <f t="shared" si="325"/>
        <v>11990</v>
      </c>
      <c r="I651" s="97">
        <f>SUM(I652:I665)</f>
        <v>10072</v>
      </c>
      <c r="J651" s="99">
        <f>SUM(J652:J665)</f>
        <v>11620</v>
      </c>
      <c r="K651" s="98"/>
      <c r="L651" s="170">
        <f>+L652+L653+L654+L655+L658+L659+L660+L662+L663+L664+L665</f>
        <v>11120</v>
      </c>
      <c r="M651" s="170">
        <f t="shared" ref="M651:N651" si="327">+M652+M653+M654+M655+M658+M659+M660+M662+M663+M664+M665</f>
        <v>0</v>
      </c>
      <c r="N651" s="170">
        <f t="shared" si="327"/>
        <v>11120</v>
      </c>
      <c r="O651" s="170">
        <f t="shared" ref="O651" si="328">+O652+O653+O654+O655+O658+O659+O660+O662+O663+O664+O665</f>
        <v>8971</v>
      </c>
      <c r="P651" s="170">
        <f>+P652+P653+P654+P655+P658+P659+P660+P662+P663+P664+P665+P661</f>
        <v>10780</v>
      </c>
      <c r="Q651" s="87">
        <f t="shared" si="310"/>
        <v>-3.0575539568345324E-2</v>
      </c>
      <c r="R651" s="206"/>
      <c r="Y651" s="49"/>
    </row>
    <row r="652" spans="1:25" ht="14.1" customHeight="1" x14ac:dyDescent="0.2">
      <c r="A652" s="89"/>
      <c r="B652" s="90" t="s">
        <v>105</v>
      </c>
      <c r="C652" s="172" t="s">
        <v>180</v>
      </c>
      <c r="D652" s="102">
        <v>2350</v>
      </c>
      <c r="E652" s="71"/>
      <c r="F652" s="74">
        <f t="shared" si="313"/>
        <v>2350</v>
      </c>
      <c r="G652" s="74"/>
      <c r="H652" s="74">
        <f t="shared" si="325"/>
        <v>2350</v>
      </c>
      <c r="I652" s="71">
        <v>1056</v>
      </c>
      <c r="J652" s="73">
        <v>2200</v>
      </c>
      <c r="K652" s="74"/>
      <c r="L652" s="74">
        <v>2200</v>
      </c>
      <c r="M652" s="74"/>
      <c r="N652" s="74">
        <f t="shared" ref="N652:N653" si="329">+L652+M652</f>
        <v>2200</v>
      </c>
      <c r="O652" s="74">
        <v>1420</v>
      </c>
      <c r="P652" s="67">
        <v>1600</v>
      </c>
      <c r="Q652" s="87">
        <f t="shared" si="310"/>
        <v>-0.27272727272727271</v>
      </c>
      <c r="R652" s="203"/>
      <c r="Y652" s="49"/>
    </row>
    <row r="653" spans="1:25" ht="14.1" customHeight="1" x14ac:dyDescent="0.2">
      <c r="A653" s="89"/>
      <c r="B653" s="90">
        <v>5503</v>
      </c>
      <c r="C653" s="103" t="s">
        <v>107</v>
      </c>
      <c r="D653" s="102">
        <v>0</v>
      </c>
      <c r="E653" s="71"/>
      <c r="F653" s="74">
        <f t="shared" si="313"/>
        <v>0</v>
      </c>
      <c r="G653" s="74"/>
      <c r="H653" s="74">
        <f t="shared" si="325"/>
        <v>0</v>
      </c>
      <c r="I653" s="71"/>
      <c r="J653" s="73"/>
      <c r="K653" s="74"/>
      <c r="L653" s="74"/>
      <c r="M653" s="74"/>
      <c r="N653" s="74">
        <f t="shared" si="329"/>
        <v>0</v>
      </c>
      <c r="O653" s="74"/>
      <c r="P653" s="67">
        <v>300</v>
      </c>
      <c r="Q653" s="87" t="e">
        <f t="shared" si="310"/>
        <v>#DIV/0!</v>
      </c>
      <c r="R653" s="203"/>
      <c r="Y653" s="49"/>
    </row>
    <row r="654" spans="1:25" ht="14.1" customHeight="1" x14ac:dyDescent="0.2">
      <c r="A654" s="89"/>
      <c r="B654" s="90" t="s">
        <v>108</v>
      </c>
      <c r="C654" s="172" t="s">
        <v>118</v>
      </c>
      <c r="D654" s="102">
        <v>500</v>
      </c>
      <c r="E654" s="71"/>
      <c r="F654" s="74">
        <f t="shared" si="313"/>
        <v>500</v>
      </c>
      <c r="G654" s="74"/>
      <c r="H654" s="74">
        <f t="shared" si="325"/>
        <v>500</v>
      </c>
      <c r="I654" s="71"/>
      <c r="J654" s="73">
        <v>500</v>
      </c>
      <c r="K654" s="74"/>
      <c r="L654" s="74">
        <v>500</v>
      </c>
      <c r="M654" s="74"/>
      <c r="N654" s="74">
        <f>+L654+M654</f>
        <v>500</v>
      </c>
      <c r="O654" s="74">
        <v>249</v>
      </c>
      <c r="P654" s="67">
        <v>600</v>
      </c>
      <c r="Q654" s="87">
        <f t="shared" si="310"/>
        <v>0.2</v>
      </c>
      <c r="R654" s="203" t="s">
        <v>864</v>
      </c>
      <c r="Y654" s="49"/>
    </row>
    <row r="655" spans="1:25" ht="14.1" customHeight="1" x14ac:dyDescent="0.2">
      <c r="A655" s="89"/>
      <c r="B655" s="90">
        <v>5511</v>
      </c>
      <c r="C655" s="172" t="s">
        <v>255</v>
      </c>
      <c r="D655" s="102">
        <v>0</v>
      </c>
      <c r="E655" s="71"/>
      <c r="F655" s="74">
        <f t="shared" si="313"/>
        <v>0</v>
      </c>
      <c r="G655" s="74"/>
      <c r="H655" s="74">
        <f t="shared" si="325"/>
        <v>0</v>
      </c>
      <c r="I655" s="71">
        <v>671</v>
      </c>
      <c r="J655" s="73">
        <v>1000</v>
      </c>
      <c r="K655" s="74"/>
      <c r="L655" s="74">
        <f>SUM(L656:L657)</f>
        <v>1000</v>
      </c>
      <c r="M655" s="74">
        <f t="shared" ref="M655:O655" si="330">SUM(M656:M657)</f>
        <v>0</v>
      </c>
      <c r="N655" s="74">
        <f t="shared" si="330"/>
        <v>1000</v>
      </c>
      <c r="O655" s="74">
        <f t="shared" si="330"/>
        <v>845</v>
      </c>
      <c r="P655" s="67">
        <f t="shared" ref="P655" si="331">SUM(P656:P657)</f>
        <v>800</v>
      </c>
      <c r="Q655" s="87">
        <f t="shared" si="310"/>
        <v>-0.2</v>
      </c>
      <c r="R655" s="206"/>
    </row>
    <row r="656" spans="1:25" ht="14.1" customHeight="1" x14ac:dyDescent="0.2">
      <c r="A656" s="176"/>
      <c r="B656" s="90"/>
      <c r="C656" s="175" t="s">
        <v>1559</v>
      </c>
      <c r="D656" s="102">
        <v>200</v>
      </c>
      <c r="E656" s="71"/>
      <c r="F656" s="153">
        <f t="shared" ref="F656:F657" si="332">+E656+D656</f>
        <v>200</v>
      </c>
      <c r="G656" s="153"/>
      <c r="H656" s="153">
        <f t="shared" si="325"/>
        <v>200</v>
      </c>
      <c r="I656" s="158">
        <v>208</v>
      </c>
      <c r="J656" s="159">
        <v>250</v>
      </c>
      <c r="K656" s="153"/>
      <c r="L656" s="153">
        <v>1000</v>
      </c>
      <c r="M656" s="153"/>
      <c r="N656" s="153">
        <f t="shared" ref="N656:N657" si="333">+M656+L656</f>
        <v>1000</v>
      </c>
      <c r="O656" s="153">
        <v>273</v>
      </c>
      <c r="P656" s="155">
        <v>100</v>
      </c>
      <c r="Q656" s="87">
        <f t="shared" si="310"/>
        <v>-0.9</v>
      </c>
    </row>
    <row r="657" spans="1:18" ht="14.1" customHeight="1" x14ac:dyDescent="0.2">
      <c r="A657" s="176"/>
      <c r="B657" s="90"/>
      <c r="C657" s="175" t="s">
        <v>1560</v>
      </c>
      <c r="D657" s="102">
        <v>0</v>
      </c>
      <c r="E657" s="71"/>
      <c r="F657" s="153">
        <f t="shared" si="332"/>
        <v>0</v>
      </c>
      <c r="G657" s="153"/>
      <c r="H657" s="153">
        <f t="shared" si="325"/>
        <v>0</v>
      </c>
      <c r="I657" s="158"/>
      <c r="J657" s="159">
        <v>250</v>
      </c>
      <c r="K657" s="153"/>
      <c r="L657" s="153"/>
      <c r="M657" s="153"/>
      <c r="N657" s="153">
        <f t="shared" si="333"/>
        <v>0</v>
      </c>
      <c r="O657" s="153">
        <v>572</v>
      </c>
      <c r="P657" s="155">
        <v>700</v>
      </c>
      <c r="Q657" s="87" t="e">
        <f t="shared" si="310"/>
        <v>#DIV/0!</v>
      </c>
      <c r="R657" s="154" t="s">
        <v>865</v>
      </c>
    </row>
    <row r="658" spans="1:18" ht="14.1" customHeight="1" x14ac:dyDescent="0.2">
      <c r="A658" s="89"/>
      <c r="B658" s="90">
        <v>5513</v>
      </c>
      <c r="C658" s="172" t="s">
        <v>130</v>
      </c>
      <c r="D658" s="102">
        <v>0</v>
      </c>
      <c r="E658" s="71"/>
      <c r="F658" s="74">
        <f t="shared" si="313"/>
        <v>0</v>
      </c>
      <c r="G658" s="74"/>
      <c r="H658" s="74">
        <f t="shared" si="325"/>
        <v>0</v>
      </c>
      <c r="I658" s="71"/>
      <c r="J658" s="73"/>
      <c r="K658" s="74"/>
      <c r="L658" s="74"/>
      <c r="M658" s="74"/>
      <c r="N658" s="74">
        <f t="shared" ref="N658:N664" si="334">+L658+M658</f>
        <v>0</v>
      </c>
      <c r="O658" s="74"/>
      <c r="P658" s="67">
        <f>+M658+N658</f>
        <v>0</v>
      </c>
      <c r="Q658" s="87" t="e">
        <f t="shared" si="310"/>
        <v>#DIV/0!</v>
      </c>
      <c r="R658" s="203"/>
    </row>
    <row r="659" spans="1:18" ht="14.1" customHeight="1" x14ac:dyDescent="0.2">
      <c r="A659" s="89"/>
      <c r="B659" s="90" t="s">
        <v>131</v>
      </c>
      <c r="C659" s="172" t="s">
        <v>112</v>
      </c>
      <c r="D659" s="102">
        <v>240</v>
      </c>
      <c r="E659" s="71"/>
      <c r="F659" s="74">
        <f t="shared" si="313"/>
        <v>240</v>
      </c>
      <c r="G659" s="74"/>
      <c r="H659" s="74">
        <f t="shared" si="325"/>
        <v>240</v>
      </c>
      <c r="I659" s="71">
        <v>222</v>
      </c>
      <c r="J659" s="73">
        <v>240</v>
      </c>
      <c r="K659" s="74"/>
      <c r="L659" s="74">
        <v>240</v>
      </c>
      <c r="M659" s="74"/>
      <c r="N659" s="74">
        <f t="shared" si="334"/>
        <v>240</v>
      </c>
      <c r="O659" s="74">
        <v>200</v>
      </c>
      <c r="P659" s="67">
        <v>300</v>
      </c>
      <c r="Q659" s="87">
        <f t="shared" si="310"/>
        <v>0.25</v>
      </c>
      <c r="R659" s="203"/>
    </row>
    <row r="660" spans="1:18" ht="14.1" customHeight="1" x14ac:dyDescent="0.2">
      <c r="A660" s="89"/>
      <c r="B660" s="90" t="s">
        <v>132</v>
      </c>
      <c r="C660" s="172" t="s">
        <v>133</v>
      </c>
      <c r="D660" s="102">
        <v>3500</v>
      </c>
      <c r="E660" s="71"/>
      <c r="F660" s="74">
        <f t="shared" si="313"/>
        <v>3500</v>
      </c>
      <c r="G660" s="74"/>
      <c r="H660" s="74">
        <f t="shared" si="325"/>
        <v>3500</v>
      </c>
      <c r="I660" s="71">
        <v>3457</v>
      </c>
      <c r="J660" s="73"/>
      <c r="K660" s="74"/>
      <c r="L660" s="74"/>
      <c r="M660" s="74"/>
      <c r="N660" s="74">
        <f t="shared" si="334"/>
        <v>0</v>
      </c>
      <c r="O660" s="74">
        <v>294</v>
      </c>
      <c r="P660" s="67">
        <v>300</v>
      </c>
      <c r="Q660" s="87" t="e">
        <f t="shared" si="310"/>
        <v>#DIV/0!</v>
      </c>
      <c r="R660" s="203"/>
    </row>
    <row r="661" spans="1:18" ht="14.1" customHeight="1" x14ac:dyDescent="0.2">
      <c r="A661" s="89"/>
      <c r="B661" s="90">
        <v>5521</v>
      </c>
      <c r="C661" s="72" t="s">
        <v>263</v>
      </c>
      <c r="D661" s="102"/>
      <c r="E661" s="71"/>
      <c r="F661" s="74"/>
      <c r="G661" s="74"/>
      <c r="H661" s="74"/>
      <c r="I661" s="71"/>
      <c r="J661" s="73"/>
      <c r="K661" s="74"/>
      <c r="L661" s="74"/>
      <c r="M661" s="74"/>
      <c r="N661" s="74"/>
      <c r="O661" s="74"/>
      <c r="P661" s="67">
        <v>80</v>
      </c>
      <c r="Q661" s="87"/>
      <c r="R661" s="203"/>
    </row>
    <row r="662" spans="1:18" ht="14.1" customHeight="1" x14ac:dyDescent="0.2">
      <c r="A662" s="89"/>
      <c r="B662" s="90" t="s">
        <v>136</v>
      </c>
      <c r="C662" s="172" t="s">
        <v>137</v>
      </c>
      <c r="D662" s="102">
        <v>100</v>
      </c>
      <c r="E662" s="71"/>
      <c r="F662" s="74">
        <f t="shared" si="313"/>
        <v>100</v>
      </c>
      <c r="G662" s="74"/>
      <c r="H662" s="74">
        <f t="shared" si="325"/>
        <v>100</v>
      </c>
      <c r="I662" s="71">
        <v>15</v>
      </c>
      <c r="J662" s="73">
        <v>100</v>
      </c>
      <c r="K662" s="74"/>
      <c r="L662" s="74">
        <v>100</v>
      </c>
      <c r="M662" s="74"/>
      <c r="N662" s="74">
        <f t="shared" si="334"/>
        <v>100</v>
      </c>
      <c r="O662" s="74">
        <v>284</v>
      </c>
      <c r="P662" s="67">
        <v>100</v>
      </c>
      <c r="Q662" s="87">
        <f t="shared" si="310"/>
        <v>0</v>
      </c>
      <c r="R662" s="203"/>
    </row>
    <row r="663" spans="1:18" ht="14.1" customHeight="1" x14ac:dyDescent="0.2">
      <c r="A663" s="89"/>
      <c r="B663" s="90" t="s">
        <v>279</v>
      </c>
      <c r="C663" s="172" t="s">
        <v>280</v>
      </c>
      <c r="D663" s="102">
        <v>5000</v>
      </c>
      <c r="E663" s="71"/>
      <c r="F663" s="74">
        <f t="shared" si="313"/>
        <v>5000</v>
      </c>
      <c r="G663" s="74"/>
      <c r="H663" s="74">
        <f t="shared" si="325"/>
        <v>5000</v>
      </c>
      <c r="I663" s="71">
        <v>4378</v>
      </c>
      <c r="J663" s="73">
        <v>5500</v>
      </c>
      <c r="K663" s="74"/>
      <c r="L663" s="74">
        <v>5500</v>
      </c>
      <c r="M663" s="74"/>
      <c r="N663" s="74">
        <f t="shared" si="334"/>
        <v>5500</v>
      </c>
      <c r="O663" s="74">
        <v>4174</v>
      </c>
      <c r="P663" s="67">
        <v>5800</v>
      </c>
      <c r="Q663" s="87">
        <f t="shared" si="310"/>
        <v>5.4545454545454543E-2</v>
      </c>
      <c r="R663" s="203"/>
    </row>
    <row r="664" spans="1:18" ht="14.1" customHeight="1" x14ac:dyDescent="0.2">
      <c r="A664" s="89"/>
      <c r="B664" s="90" t="s">
        <v>138</v>
      </c>
      <c r="C664" s="172" t="s">
        <v>139</v>
      </c>
      <c r="D664" s="102">
        <v>200</v>
      </c>
      <c r="E664" s="71"/>
      <c r="F664" s="74">
        <f t="shared" si="313"/>
        <v>200</v>
      </c>
      <c r="G664" s="74"/>
      <c r="H664" s="74">
        <f t="shared" si="325"/>
        <v>200</v>
      </c>
      <c r="I664" s="71">
        <v>65</v>
      </c>
      <c r="J664" s="73">
        <v>1500</v>
      </c>
      <c r="K664" s="74"/>
      <c r="L664" s="74">
        <v>1500</v>
      </c>
      <c r="M664" s="74"/>
      <c r="N664" s="74">
        <f t="shared" si="334"/>
        <v>1500</v>
      </c>
      <c r="O664" s="74">
        <v>1238</v>
      </c>
      <c r="P664" s="67">
        <v>800</v>
      </c>
      <c r="Q664" s="87">
        <f t="shared" si="310"/>
        <v>-0.46666666666666667</v>
      </c>
      <c r="R664" s="206"/>
    </row>
    <row r="665" spans="1:18" ht="14.1" customHeight="1" x14ac:dyDescent="0.2">
      <c r="A665" s="89"/>
      <c r="B665" s="90">
        <v>5540</v>
      </c>
      <c r="C665" s="56" t="s">
        <v>256</v>
      </c>
      <c r="D665" s="102">
        <v>100</v>
      </c>
      <c r="E665" s="71"/>
      <c r="F665" s="74">
        <f t="shared" si="313"/>
        <v>100</v>
      </c>
      <c r="G665" s="74"/>
      <c r="H665" s="74">
        <f t="shared" si="325"/>
        <v>100</v>
      </c>
      <c r="I665" s="71"/>
      <c r="J665" s="73">
        <v>80</v>
      </c>
      <c r="K665" s="74"/>
      <c r="L665" s="74">
        <v>80</v>
      </c>
      <c r="M665" s="74"/>
      <c r="N665" s="74">
        <f>+L665+M665</f>
        <v>80</v>
      </c>
      <c r="O665" s="74">
        <v>267</v>
      </c>
      <c r="P665" s="67">
        <v>100</v>
      </c>
      <c r="Q665" s="87">
        <f t="shared" si="310"/>
        <v>0.25</v>
      </c>
      <c r="R665" s="206"/>
    </row>
    <row r="666" spans="1:18" ht="14.1" customHeight="1" x14ac:dyDescent="0.2">
      <c r="A666" s="146" t="s">
        <v>676</v>
      </c>
      <c r="B666" s="147"/>
      <c r="C666" s="148" t="s">
        <v>281</v>
      </c>
      <c r="D666" s="149">
        <v>61076</v>
      </c>
      <c r="E666" s="150"/>
      <c r="F666" s="137">
        <f t="shared" si="313"/>
        <v>61076</v>
      </c>
      <c r="G666" s="137">
        <v>0</v>
      </c>
      <c r="H666" s="137">
        <f>+H667+H668</f>
        <v>61076</v>
      </c>
      <c r="I666" s="151">
        <f>+I667+I668</f>
        <v>43931</v>
      </c>
      <c r="J666" s="152">
        <f>+J667+J668</f>
        <v>57400</v>
      </c>
      <c r="K666" s="152">
        <f t="shared" ref="K666:L666" si="335">+K667+K668</f>
        <v>0</v>
      </c>
      <c r="L666" s="152">
        <f t="shared" si="335"/>
        <v>57400</v>
      </c>
      <c r="M666" s="152">
        <f t="shared" ref="M666:N666" si="336">+M667+M668</f>
        <v>0</v>
      </c>
      <c r="N666" s="152">
        <f t="shared" si="336"/>
        <v>57400</v>
      </c>
      <c r="O666" s="152">
        <f t="shared" ref="O666:P666" si="337">+O667+O668</f>
        <v>45741</v>
      </c>
      <c r="P666" s="152">
        <f t="shared" si="337"/>
        <v>60752</v>
      </c>
      <c r="Q666" s="87">
        <f t="shared" si="310"/>
        <v>5.8397212543554004E-2</v>
      </c>
      <c r="R666" s="203" t="s">
        <v>949</v>
      </c>
    </row>
    <row r="667" spans="1:18" ht="14.1" customHeight="1" x14ac:dyDescent="0.2">
      <c r="A667" s="89"/>
      <c r="B667" s="95" t="s">
        <v>101</v>
      </c>
      <c r="C667" s="96" t="s">
        <v>102</v>
      </c>
      <c r="D667" s="43">
        <v>17451</v>
      </c>
      <c r="E667" s="71"/>
      <c r="F667" s="98">
        <f t="shared" si="313"/>
        <v>17451</v>
      </c>
      <c r="G667" s="98"/>
      <c r="H667" s="98">
        <f>+G667+F667</f>
        <v>17451</v>
      </c>
      <c r="I667" s="97">
        <v>14317</v>
      </c>
      <c r="J667" s="73">
        <v>19200</v>
      </c>
      <c r="K667" s="74"/>
      <c r="L667" s="140">
        <f>+K667+J667</f>
        <v>19200</v>
      </c>
      <c r="M667" s="140"/>
      <c r="N667" s="140">
        <f t="shared" ref="N667" si="338">+M667+L667</f>
        <v>19200</v>
      </c>
      <c r="O667" s="140">
        <v>15599</v>
      </c>
      <c r="P667" s="67">
        <v>21989</v>
      </c>
      <c r="Q667" s="87">
        <f t="shared" si="310"/>
        <v>0.14526041666666667</v>
      </c>
      <c r="R667" s="203" t="s">
        <v>867</v>
      </c>
    </row>
    <row r="668" spans="1:18" ht="14.1" customHeight="1" x14ac:dyDescent="0.2">
      <c r="A668" s="89"/>
      <c r="B668" s="95" t="s">
        <v>103</v>
      </c>
      <c r="C668" s="96" t="s">
        <v>104</v>
      </c>
      <c r="D668" s="43">
        <v>43625</v>
      </c>
      <c r="E668" s="71"/>
      <c r="F668" s="98">
        <f t="shared" si="313"/>
        <v>43625</v>
      </c>
      <c r="G668" s="98"/>
      <c r="H668" s="98">
        <f t="shared" ref="H668:H683" si="339">+G668+F668</f>
        <v>43625</v>
      </c>
      <c r="I668" s="97">
        <f t="shared" ref="I668:N668" si="340">+I669+I671+I672+I679+I680+I681+I682+I683</f>
        <v>29614</v>
      </c>
      <c r="J668" s="73">
        <f t="shared" si="340"/>
        <v>38200</v>
      </c>
      <c r="K668" s="73">
        <f t="shared" si="340"/>
        <v>0</v>
      </c>
      <c r="L668" s="141">
        <f t="shared" si="340"/>
        <v>38200</v>
      </c>
      <c r="M668" s="141">
        <f t="shared" si="340"/>
        <v>0</v>
      </c>
      <c r="N668" s="141">
        <f t="shared" si="340"/>
        <v>38200</v>
      </c>
      <c r="O668" s="141">
        <f t="shared" ref="O668" si="341">+O669+O671+O672+O679+O680+O681+O682+O683</f>
        <v>30142</v>
      </c>
      <c r="P668" s="141">
        <f>+P669+P671+P672+P679+P680+P681+P682+P683+P670</f>
        <v>38763</v>
      </c>
      <c r="Q668" s="87">
        <f t="shared" si="310"/>
        <v>1.4738219895287959E-2</v>
      </c>
      <c r="R668" s="203"/>
    </row>
    <row r="669" spans="1:18" ht="14.1" customHeight="1" x14ac:dyDescent="0.2">
      <c r="A669" s="89"/>
      <c r="B669" s="90" t="s">
        <v>105</v>
      </c>
      <c r="C669" s="72" t="s">
        <v>180</v>
      </c>
      <c r="D669" s="102">
        <v>1300</v>
      </c>
      <c r="E669" s="71"/>
      <c r="F669" s="74">
        <f t="shared" si="313"/>
        <v>1300</v>
      </c>
      <c r="G669" s="74"/>
      <c r="H669" s="74">
        <f t="shared" si="339"/>
        <v>1300</v>
      </c>
      <c r="I669" s="71">
        <v>871</v>
      </c>
      <c r="J669" s="73">
        <v>1250</v>
      </c>
      <c r="K669" s="74"/>
      <c r="L669" s="74">
        <v>1250</v>
      </c>
      <c r="M669" s="74"/>
      <c r="N669" s="74">
        <f>+L669+M669</f>
        <v>1250</v>
      </c>
      <c r="O669" s="74">
        <v>1350</v>
      </c>
      <c r="P669" s="67">
        <v>1400</v>
      </c>
      <c r="Q669" s="87">
        <f t="shared" si="310"/>
        <v>0.12</v>
      </c>
      <c r="R669" s="203"/>
    </row>
    <row r="670" spans="1:18" ht="14.1" customHeight="1" x14ac:dyDescent="0.2">
      <c r="A670" s="89"/>
      <c r="B670" s="90">
        <v>5503</v>
      </c>
      <c r="C670" s="103" t="s">
        <v>107</v>
      </c>
      <c r="D670" s="102"/>
      <c r="E670" s="71"/>
      <c r="F670" s="74"/>
      <c r="G670" s="74"/>
      <c r="H670" s="74"/>
      <c r="I670" s="71"/>
      <c r="J670" s="73"/>
      <c r="K670" s="74"/>
      <c r="L670" s="74"/>
      <c r="M670" s="74"/>
      <c r="N670" s="74"/>
      <c r="O670" s="74"/>
      <c r="P670" s="67">
        <v>300</v>
      </c>
      <c r="Q670" s="87"/>
      <c r="R670" s="203" t="s">
        <v>864</v>
      </c>
    </row>
    <row r="671" spans="1:18" ht="14.1" customHeight="1" x14ac:dyDescent="0.2">
      <c r="A671" s="89"/>
      <c r="B671" s="90" t="s">
        <v>108</v>
      </c>
      <c r="C671" s="72" t="s">
        <v>118</v>
      </c>
      <c r="D671" s="102">
        <v>250</v>
      </c>
      <c r="E671" s="71"/>
      <c r="F671" s="74">
        <f t="shared" si="313"/>
        <v>250</v>
      </c>
      <c r="G671" s="74"/>
      <c r="H671" s="74">
        <f t="shared" si="339"/>
        <v>250</v>
      </c>
      <c r="I671" s="71">
        <v>7</v>
      </c>
      <c r="J671" s="73">
        <v>250</v>
      </c>
      <c r="K671" s="74"/>
      <c r="L671" s="74">
        <v>250</v>
      </c>
      <c r="M671" s="74"/>
      <c r="N671" s="74">
        <f>+L671+M671</f>
        <v>250</v>
      </c>
      <c r="O671" s="74">
        <v>241</v>
      </c>
      <c r="P671" s="67">
        <v>300</v>
      </c>
      <c r="Q671" s="87">
        <f t="shared" si="310"/>
        <v>0.2</v>
      </c>
      <c r="R671" s="203"/>
    </row>
    <row r="672" spans="1:18" ht="14.1" customHeight="1" x14ac:dyDescent="0.2">
      <c r="A672" s="89"/>
      <c r="B672" s="90" t="s">
        <v>119</v>
      </c>
      <c r="C672" s="72" t="s">
        <v>110</v>
      </c>
      <c r="D672" s="102">
        <v>38300</v>
      </c>
      <c r="E672" s="71"/>
      <c r="F672" s="74">
        <f t="shared" ref="F672:F694" si="342">+E672+D672</f>
        <v>38300</v>
      </c>
      <c r="G672" s="74"/>
      <c r="H672" s="74">
        <f t="shared" si="339"/>
        <v>38300</v>
      </c>
      <c r="I672" s="71">
        <f>SUM(I673:I678)</f>
        <v>25804</v>
      </c>
      <c r="J672" s="73">
        <f>+J673+J674+J675+J676+J677+J678</f>
        <v>31800</v>
      </c>
      <c r="K672" s="74"/>
      <c r="L672" s="74">
        <f>SUM(L673:L678)</f>
        <v>31800</v>
      </c>
      <c r="M672" s="74">
        <f t="shared" ref="M672:O672" si="343">SUM(M673:M678)</f>
        <v>0</v>
      </c>
      <c r="N672" s="74">
        <f t="shared" si="343"/>
        <v>31800</v>
      </c>
      <c r="O672" s="74">
        <f t="shared" si="343"/>
        <v>25686</v>
      </c>
      <c r="P672" s="67">
        <f t="shared" ref="P672" si="344">SUM(P673:P678)</f>
        <v>31813</v>
      </c>
      <c r="Q672" s="87">
        <f t="shared" si="310"/>
        <v>4.0880503144654089E-4</v>
      </c>
      <c r="R672" s="203"/>
    </row>
    <row r="673" spans="1:25" s="49" customFormat="1" ht="14.1" customHeight="1" x14ac:dyDescent="0.2">
      <c r="A673" s="184"/>
      <c r="B673" s="185"/>
      <c r="C673" s="154" t="s">
        <v>122</v>
      </c>
      <c r="D673" s="157">
        <v>400</v>
      </c>
      <c r="E673" s="158"/>
      <c r="F673" s="153">
        <f t="shared" si="342"/>
        <v>400</v>
      </c>
      <c r="G673" s="153"/>
      <c r="H673" s="153">
        <f t="shared" si="339"/>
        <v>400</v>
      </c>
      <c r="I673" s="158"/>
      <c r="J673" s="159">
        <v>400</v>
      </c>
      <c r="K673" s="153"/>
      <c r="L673" s="153">
        <v>400</v>
      </c>
      <c r="M673" s="153"/>
      <c r="N673" s="153">
        <f>+L673+M673</f>
        <v>400</v>
      </c>
      <c r="O673" s="153">
        <v>658</v>
      </c>
      <c r="P673" s="155">
        <v>800</v>
      </c>
      <c r="Q673" s="87">
        <f t="shared" si="310"/>
        <v>1</v>
      </c>
      <c r="R673" s="203" t="s">
        <v>868</v>
      </c>
    </row>
    <row r="674" spans="1:25" s="49" customFormat="1" ht="14.1" customHeight="1" x14ac:dyDescent="0.2">
      <c r="A674" s="184"/>
      <c r="B674" s="185"/>
      <c r="C674" s="154" t="s">
        <v>123</v>
      </c>
      <c r="D674" s="157">
        <v>200</v>
      </c>
      <c r="E674" s="158"/>
      <c r="F674" s="153">
        <f t="shared" si="342"/>
        <v>200</v>
      </c>
      <c r="G674" s="153"/>
      <c r="H674" s="153">
        <f t="shared" si="339"/>
        <v>200</v>
      </c>
      <c r="I674" s="158"/>
      <c r="J674" s="159">
        <v>200</v>
      </c>
      <c r="K674" s="153"/>
      <c r="L674" s="153">
        <v>200</v>
      </c>
      <c r="M674" s="153"/>
      <c r="N674" s="153">
        <f t="shared" ref="N674:N678" si="345">+L674+M674</f>
        <v>200</v>
      </c>
      <c r="O674" s="153">
        <v>15</v>
      </c>
      <c r="P674" s="155">
        <v>100</v>
      </c>
      <c r="Q674" s="87">
        <f t="shared" si="310"/>
        <v>-0.5</v>
      </c>
      <c r="R674" s="203"/>
    </row>
    <row r="675" spans="1:25" s="49" customFormat="1" ht="14.1" customHeight="1" x14ac:dyDescent="0.2">
      <c r="A675" s="184"/>
      <c r="B675" s="185"/>
      <c r="C675" s="154" t="s">
        <v>124</v>
      </c>
      <c r="D675" s="157">
        <v>700</v>
      </c>
      <c r="E675" s="158"/>
      <c r="F675" s="153">
        <f t="shared" si="342"/>
        <v>700</v>
      </c>
      <c r="G675" s="153"/>
      <c r="H675" s="153">
        <f t="shared" si="339"/>
        <v>700</v>
      </c>
      <c r="I675" s="158">
        <v>804</v>
      </c>
      <c r="J675" s="159">
        <v>700</v>
      </c>
      <c r="K675" s="153"/>
      <c r="L675" s="153">
        <v>700</v>
      </c>
      <c r="M675" s="153"/>
      <c r="N675" s="153">
        <f t="shared" si="345"/>
        <v>700</v>
      </c>
      <c r="O675" s="153"/>
      <c r="P675" s="155">
        <v>700</v>
      </c>
      <c r="Q675" s="87">
        <f t="shared" si="310"/>
        <v>0</v>
      </c>
      <c r="R675" s="203" t="s">
        <v>950</v>
      </c>
    </row>
    <row r="676" spans="1:25" s="49" customFormat="1" ht="14.1" customHeight="1" x14ac:dyDescent="0.2">
      <c r="A676" s="184"/>
      <c r="B676" s="185"/>
      <c r="C676" s="154" t="s">
        <v>282</v>
      </c>
      <c r="D676" s="157">
        <v>1000</v>
      </c>
      <c r="E676" s="158"/>
      <c r="F676" s="153">
        <f t="shared" si="342"/>
        <v>1000</v>
      </c>
      <c r="G676" s="153"/>
      <c r="H676" s="153">
        <f t="shared" si="339"/>
        <v>1000</v>
      </c>
      <c r="I676" s="158"/>
      <c r="J676" s="159">
        <v>500</v>
      </c>
      <c r="K676" s="153"/>
      <c r="L676" s="153">
        <v>500</v>
      </c>
      <c r="M676" s="153"/>
      <c r="N676" s="153">
        <f t="shared" si="345"/>
        <v>500</v>
      </c>
      <c r="O676" s="153"/>
      <c r="P676" s="155">
        <v>200</v>
      </c>
      <c r="Q676" s="87">
        <f t="shared" si="310"/>
        <v>-0.6</v>
      </c>
      <c r="R676" s="203" t="s">
        <v>951</v>
      </c>
    </row>
    <row r="677" spans="1:25" s="49" customFormat="1" ht="14.1" customHeight="1" x14ac:dyDescent="0.2">
      <c r="A677" s="184"/>
      <c r="B677" s="185"/>
      <c r="C677" s="154" t="s">
        <v>283</v>
      </c>
      <c r="D677" s="157">
        <v>0</v>
      </c>
      <c r="E677" s="158"/>
      <c r="F677" s="153">
        <f t="shared" si="342"/>
        <v>0</v>
      </c>
      <c r="G677" s="153"/>
      <c r="H677" s="153">
        <f t="shared" si="339"/>
        <v>0</v>
      </c>
      <c r="I677" s="158"/>
      <c r="J677" s="159"/>
      <c r="K677" s="153"/>
      <c r="L677" s="153"/>
      <c r="M677" s="153"/>
      <c r="N677" s="153">
        <f t="shared" si="345"/>
        <v>0</v>
      </c>
      <c r="O677" s="153">
        <v>13</v>
      </c>
      <c r="P677" s="155">
        <v>13</v>
      </c>
      <c r="Q677" s="87" t="e">
        <f t="shared" si="310"/>
        <v>#DIV/0!</v>
      </c>
      <c r="R677" s="203"/>
    </row>
    <row r="678" spans="1:25" s="49" customFormat="1" ht="14.1" customHeight="1" x14ac:dyDescent="0.2">
      <c r="A678" s="184"/>
      <c r="B678" s="185"/>
      <c r="C678" s="154" t="s">
        <v>284</v>
      </c>
      <c r="D678" s="157">
        <v>36000</v>
      </c>
      <c r="E678" s="158"/>
      <c r="F678" s="153">
        <f t="shared" si="342"/>
        <v>36000</v>
      </c>
      <c r="G678" s="153"/>
      <c r="H678" s="153">
        <f t="shared" si="339"/>
        <v>36000</v>
      </c>
      <c r="I678" s="158">
        <v>25000</v>
      </c>
      <c r="J678" s="159">
        <v>30000</v>
      </c>
      <c r="K678" s="153"/>
      <c r="L678" s="153">
        <v>30000</v>
      </c>
      <c r="M678" s="153"/>
      <c r="N678" s="153">
        <f t="shared" si="345"/>
        <v>30000</v>
      </c>
      <c r="O678" s="153">
        <v>25000</v>
      </c>
      <c r="P678" s="155">
        <v>30000</v>
      </c>
      <c r="Q678" s="87">
        <f t="shared" si="310"/>
        <v>0</v>
      </c>
      <c r="R678" s="203" t="s">
        <v>1446</v>
      </c>
    </row>
    <row r="679" spans="1:25" ht="14.1" customHeight="1" x14ac:dyDescent="0.2">
      <c r="A679" s="89"/>
      <c r="B679" s="90" t="s">
        <v>131</v>
      </c>
      <c r="C679" s="72" t="s">
        <v>112</v>
      </c>
      <c r="D679" s="102">
        <v>300</v>
      </c>
      <c r="E679" s="71"/>
      <c r="F679" s="74">
        <f t="shared" si="342"/>
        <v>300</v>
      </c>
      <c r="G679" s="74"/>
      <c r="H679" s="74">
        <f t="shared" si="339"/>
        <v>300</v>
      </c>
      <c r="I679" s="71">
        <v>303</v>
      </c>
      <c r="J679" s="73">
        <v>320</v>
      </c>
      <c r="K679" s="74"/>
      <c r="L679" s="74">
        <v>320</v>
      </c>
      <c r="M679" s="74"/>
      <c r="N679" s="74">
        <f>+L679+M679</f>
        <v>320</v>
      </c>
      <c r="O679" s="74">
        <v>416</v>
      </c>
      <c r="P679" s="67">
        <v>500</v>
      </c>
      <c r="Q679" s="87">
        <f t="shared" si="310"/>
        <v>0.5625</v>
      </c>
      <c r="R679" s="206"/>
    </row>
    <row r="680" spans="1:25" ht="14.1" customHeight="1" x14ac:dyDescent="0.2">
      <c r="A680" s="89"/>
      <c r="B680" s="90" t="s">
        <v>132</v>
      </c>
      <c r="C680" s="72" t="s">
        <v>133</v>
      </c>
      <c r="D680" s="102">
        <v>200</v>
      </c>
      <c r="E680" s="71"/>
      <c r="F680" s="74">
        <f t="shared" si="342"/>
        <v>200</v>
      </c>
      <c r="G680" s="74"/>
      <c r="H680" s="74">
        <f t="shared" si="339"/>
        <v>200</v>
      </c>
      <c r="I680" s="71"/>
      <c r="J680" s="73">
        <v>700</v>
      </c>
      <c r="K680" s="74"/>
      <c r="L680" s="74">
        <f>+K680+J680</f>
        <v>700</v>
      </c>
      <c r="M680" s="74"/>
      <c r="N680" s="74">
        <f t="shared" ref="N680:N683" si="346">+L680+M680</f>
        <v>700</v>
      </c>
      <c r="O680" s="74"/>
      <c r="P680" s="67">
        <v>100</v>
      </c>
      <c r="Q680" s="87">
        <f t="shared" si="310"/>
        <v>-0.8571428571428571</v>
      </c>
      <c r="R680" s="203"/>
    </row>
    <row r="681" spans="1:25" ht="14.1" customHeight="1" x14ac:dyDescent="0.2">
      <c r="A681" s="89"/>
      <c r="B681" s="90" t="s">
        <v>136</v>
      </c>
      <c r="C681" s="72" t="s">
        <v>137</v>
      </c>
      <c r="D681" s="102">
        <v>25</v>
      </c>
      <c r="E681" s="71"/>
      <c r="F681" s="74">
        <f t="shared" si="342"/>
        <v>25</v>
      </c>
      <c r="G681" s="74"/>
      <c r="H681" s="74">
        <f t="shared" si="339"/>
        <v>25</v>
      </c>
      <c r="I681" s="71"/>
      <c r="J681" s="73">
        <v>230</v>
      </c>
      <c r="K681" s="74"/>
      <c r="L681" s="74">
        <v>230</v>
      </c>
      <c r="M681" s="74"/>
      <c r="N681" s="74">
        <f t="shared" si="346"/>
        <v>230</v>
      </c>
      <c r="O681" s="74"/>
      <c r="P681" s="67">
        <v>250</v>
      </c>
      <c r="Q681" s="87">
        <f t="shared" si="310"/>
        <v>8.6956521739130432E-2</v>
      </c>
      <c r="R681" s="203"/>
    </row>
    <row r="682" spans="1:25" ht="14.1" customHeight="1" x14ac:dyDescent="0.2">
      <c r="A682" s="89"/>
      <c r="B682" s="90" t="s">
        <v>279</v>
      </c>
      <c r="C682" s="72" t="s">
        <v>280</v>
      </c>
      <c r="D682" s="102">
        <v>2750</v>
      </c>
      <c r="E682" s="71"/>
      <c r="F682" s="74">
        <f t="shared" si="342"/>
        <v>2750</v>
      </c>
      <c r="G682" s="74"/>
      <c r="H682" s="74">
        <f t="shared" si="339"/>
        <v>2750</v>
      </c>
      <c r="I682" s="71">
        <v>2403</v>
      </c>
      <c r="J682" s="73">
        <v>3200</v>
      </c>
      <c r="K682" s="74"/>
      <c r="L682" s="74">
        <v>3200</v>
      </c>
      <c r="M682" s="74"/>
      <c r="N682" s="74">
        <f t="shared" si="346"/>
        <v>3200</v>
      </c>
      <c r="O682" s="74">
        <v>2403</v>
      </c>
      <c r="P682" s="67">
        <v>3500</v>
      </c>
      <c r="Q682" s="87">
        <f t="shared" si="310"/>
        <v>9.375E-2</v>
      </c>
      <c r="R682" s="203"/>
    </row>
    <row r="683" spans="1:25" ht="14.1" customHeight="1" x14ac:dyDescent="0.2">
      <c r="A683" s="89"/>
      <c r="B683" s="90" t="s">
        <v>138</v>
      </c>
      <c r="C683" s="72" t="s">
        <v>139</v>
      </c>
      <c r="D683" s="102">
        <v>500</v>
      </c>
      <c r="E683" s="71"/>
      <c r="F683" s="74">
        <f t="shared" si="342"/>
        <v>500</v>
      </c>
      <c r="G683" s="74"/>
      <c r="H683" s="74">
        <f t="shared" si="339"/>
        <v>500</v>
      </c>
      <c r="I683" s="71">
        <v>226</v>
      </c>
      <c r="J683" s="73">
        <v>450</v>
      </c>
      <c r="K683" s="74"/>
      <c r="L683" s="74">
        <v>450</v>
      </c>
      <c r="M683" s="74"/>
      <c r="N683" s="74">
        <f t="shared" si="346"/>
        <v>450</v>
      </c>
      <c r="O683" s="74">
        <v>46</v>
      </c>
      <c r="P683" s="67">
        <v>600</v>
      </c>
      <c r="Q683" s="87">
        <f t="shared" si="310"/>
        <v>0.33333333333333331</v>
      </c>
      <c r="R683" s="203"/>
    </row>
    <row r="684" spans="1:25" ht="14.1" customHeight="1" x14ac:dyDescent="0.2">
      <c r="A684" s="146" t="s">
        <v>677</v>
      </c>
      <c r="B684" s="147"/>
      <c r="C684" s="148" t="s">
        <v>285</v>
      </c>
      <c r="D684" s="149">
        <v>15040</v>
      </c>
      <c r="E684" s="150"/>
      <c r="F684" s="137">
        <f t="shared" si="342"/>
        <v>15040</v>
      </c>
      <c r="G684" s="137">
        <v>0</v>
      </c>
      <c r="H684" s="137">
        <f>+H685+H686</f>
        <v>15040</v>
      </c>
      <c r="I684" s="151">
        <f>+I685+I686</f>
        <v>12516</v>
      </c>
      <c r="J684" s="152">
        <f>+J685+J686</f>
        <v>24504</v>
      </c>
      <c r="K684" s="152">
        <f t="shared" ref="K684:L684" si="347">+K685+K686</f>
        <v>0</v>
      </c>
      <c r="L684" s="152">
        <f t="shared" si="347"/>
        <v>24504</v>
      </c>
      <c r="M684" s="152">
        <f t="shared" ref="M684:N684" si="348">+M685+M686</f>
        <v>0</v>
      </c>
      <c r="N684" s="152">
        <f t="shared" si="348"/>
        <v>24504</v>
      </c>
      <c r="O684" s="152">
        <f t="shared" ref="O684:P684" si="349">+O685+O686</f>
        <v>16712</v>
      </c>
      <c r="P684" s="152">
        <f t="shared" si="349"/>
        <v>24287</v>
      </c>
      <c r="Q684" s="87">
        <f t="shared" si="310"/>
        <v>-8.8556970290564804E-3</v>
      </c>
      <c r="R684" s="203" t="s">
        <v>948</v>
      </c>
      <c r="Y684" s="49"/>
    </row>
    <row r="685" spans="1:25" ht="14.1" customHeight="1" x14ac:dyDescent="0.2">
      <c r="A685" s="89"/>
      <c r="B685" s="95" t="s">
        <v>101</v>
      </c>
      <c r="C685" s="96" t="s">
        <v>102</v>
      </c>
      <c r="D685" s="43">
        <v>9640</v>
      </c>
      <c r="E685" s="71"/>
      <c r="F685" s="98">
        <f t="shared" si="342"/>
        <v>9640</v>
      </c>
      <c r="G685" s="98"/>
      <c r="H685" s="98">
        <f>+G685+F685</f>
        <v>9640</v>
      </c>
      <c r="I685" s="97">
        <v>8158</v>
      </c>
      <c r="J685" s="73">
        <v>10600</v>
      </c>
      <c r="K685" s="74"/>
      <c r="L685" s="140">
        <f>+K685+J685</f>
        <v>10600</v>
      </c>
      <c r="M685" s="140"/>
      <c r="N685" s="140">
        <f t="shared" ref="N685" si="350">+M685+L685</f>
        <v>10600</v>
      </c>
      <c r="O685" s="140">
        <v>8921</v>
      </c>
      <c r="P685" s="67">
        <v>12187</v>
      </c>
      <c r="Q685" s="87">
        <f t="shared" si="310"/>
        <v>0.14971698113207546</v>
      </c>
      <c r="R685" s="203" t="s">
        <v>872</v>
      </c>
      <c r="Y685" s="49"/>
    </row>
    <row r="686" spans="1:25" ht="14.1" customHeight="1" x14ac:dyDescent="0.2">
      <c r="A686" s="89"/>
      <c r="B686" s="95" t="s">
        <v>103</v>
      </c>
      <c r="C686" s="96" t="s">
        <v>104</v>
      </c>
      <c r="D686" s="43">
        <v>5400</v>
      </c>
      <c r="E686" s="71"/>
      <c r="F686" s="98">
        <f t="shared" si="342"/>
        <v>5400</v>
      </c>
      <c r="G686" s="98"/>
      <c r="H686" s="98">
        <f t="shared" ref="H686:H706" si="351">+G686+F686</f>
        <v>5400</v>
      </c>
      <c r="I686" s="97">
        <f>+I687+I689+I690+I699+I700+I701+I702+I703+I705+I706</f>
        <v>4358</v>
      </c>
      <c r="J686" s="73">
        <f>+J687+J689+J690+J699+J700+J701+J702+J703+J705+J706</f>
        <v>13904</v>
      </c>
      <c r="K686" s="73">
        <f>+K687+K689+K690+K699+K700+K701+K702+K703+K705+K706</f>
        <v>0</v>
      </c>
      <c r="L686" s="141">
        <f>+L687+L689+L690+L699+L700+L701+L702+L703+L705+L706</f>
        <v>13904</v>
      </c>
      <c r="M686" s="141">
        <f t="shared" ref="M686:N686" si="352">+M687+M689+M690+M699+M700+M701+M702+M703+M705+M706</f>
        <v>0</v>
      </c>
      <c r="N686" s="141">
        <f t="shared" si="352"/>
        <v>13904</v>
      </c>
      <c r="O686" s="141">
        <f t="shared" ref="O686" si="353">+O687+O689+O690+O699+O700+O701+O702+O703+O705+O706</f>
        <v>7791</v>
      </c>
      <c r="P686" s="141">
        <f>+P687+P689+P690+P699+P700+P701+P702+P703+P705+P706+P704+P688</f>
        <v>12100</v>
      </c>
      <c r="Q686" s="87">
        <f t="shared" si="310"/>
        <v>-0.12974683544303797</v>
      </c>
      <c r="R686" s="203"/>
      <c r="Y686" s="49"/>
    </row>
    <row r="687" spans="1:25" ht="14.1" customHeight="1" x14ac:dyDescent="0.2">
      <c r="A687" s="89"/>
      <c r="B687" s="90" t="s">
        <v>105</v>
      </c>
      <c r="C687" s="72" t="s">
        <v>115</v>
      </c>
      <c r="D687" s="102">
        <v>2200</v>
      </c>
      <c r="E687" s="71"/>
      <c r="F687" s="74">
        <f t="shared" si="342"/>
        <v>2200</v>
      </c>
      <c r="G687" s="74"/>
      <c r="H687" s="74">
        <f t="shared" si="351"/>
        <v>2200</v>
      </c>
      <c r="I687" s="71">
        <v>1340</v>
      </c>
      <c r="J687" s="73">
        <v>2244</v>
      </c>
      <c r="K687" s="74"/>
      <c r="L687" s="74">
        <v>2244</v>
      </c>
      <c r="M687" s="74"/>
      <c r="N687" s="74">
        <f>+L687+M687</f>
        <v>2244</v>
      </c>
      <c r="O687" s="74">
        <v>1071</v>
      </c>
      <c r="P687" s="67">
        <v>2300</v>
      </c>
      <c r="Q687" s="87">
        <f t="shared" si="310"/>
        <v>2.4955436720142603E-2</v>
      </c>
      <c r="R687" s="203"/>
      <c r="Y687" s="49"/>
    </row>
    <row r="688" spans="1:25" ht="14.1" customHeight="1" x14ac:dyDescent="0.2">
      <c r="A688" s="89"/>
      <c r="B688" s="90">
        <v>5503</v>
      </c>
      <c r="C688" s="103" t="s">
        <v>107</v>
      </c>
      <c r="D688" s="102"/>
      <c r="E688" s="71"/>
      <c r="F688" s="74"/>
      <c r="G688" s="74"/>
      <c r="H688" s="74"/>
      <c r="I688" s="71"/>
      <c r="J688" s="73"/>
      <c r="K688" s="74"/>
      <c r="L688" s="74"/>
      <c r="M688" s="74"/>
      <c r="N688" s="74"/>
      <c r="O688" s="74"/>
      <c r="P688" s="67">
        <v>300</v>
      </c>
      <c r="Q688" s="87">
        <v>1</v>
      </c>
      <c r="R688" s="203"/>
      <c r="Y688" s="49"/>
    </row>
    <row r="689" spans="1:25" ht="14.1" customHeight="1" x14ac:dyDescent="0.2">
      <c r="A689" s="89"/>
      <c r="B689" s="90">
        <v>5504</v>
      </c>
      <c r="C689" s="72" t="s">
        <v>118</v>
      </c>
      <c r="D689" s="102">
        <v>400</v>
      </c>
      <c r="E689" s="71"/>
      <c r="F689" s="74">
        <f t="shared" si="342"/>
        <v>400</v>
      </c>
      <c r="G689" s="74"/>
      <c r="H689" s="74">
        <f t="shared" si="351"/>
        <v>400</v>
      </c>
      <c r="I689" s="71">
        <v>19</v>
      </c>
      <c r="J689" s="73">
        <v>550</v>
      </c>
      <c r="K689" s="74"/>
      <c r="L689" s="74">
        <v>550</v>
      </c>
      <c r="M689" s="74"/>
      <c r="N689" s="74">
        <f>+L689+M689</f>
        <v>550</v>
      </c>
      <c r="O689" s="74">
        <v>287</v>
      </c>
      <c r="P689" s="67">
        <v>300</v>
      </c>
      <c r="Q689" s="87">
        <f t="shared" si="310"/>
        <v>-0.45454545454545453</v>
      </c>
      <c r="R689" s="203" t="s">
        <v>864</v>
      </c>
      <c r="Y689" s="49"/>
    </row>
    <row r="690" spans="1:25" ht="14.1" customHeight="1" x14ac:dyDescent="0.2">
      <c r="A690" s="89"/>
      <c r="B690" s="90" t="s">
        <v>119</v>
      </c>
      <c r="C690" s="72" t="s">
        <v>110</v>
      </c>
      <c r="D690" s="102">
        <v>500</v>
      </c>
      <c r="E690" s="71"/>
      <c r="F690" s="74">
        <f t="shared" si="342"/>
        <v>500</v>
      </c>
      <c r="G690" s="74"/>
      <c r="H690" s="74">
        <f t="shared" si="351"/>
        <v>500</v>
      </c>
      <c r="I690" s="71">
        <f>SUM(I691:I698)</f>
        <v>1167</v>
      </c>
      <c r="J690" s="73">
        <f>+J691+J692+J693+J694+J695+J696+J697+J698</f>
        <v>2260</v>
      </c>
      <c r="K690" s="74"/>
      <c r="L690" s="74">
        <f>SUM(L691:L698)</f>
        <v>2260</v>
      </c>
      <c r="M690" s="74">
        <f t="shared" ref="M690:O690" si="354">SUM(M691:M698)</f>
        <v>0</v>
      </c>
      <c r="N690" s="74">
        <f t="shared" si="354"/>
        <v>2260</v>
      </c>
      <c r="O690" s="74">
        <f t="shared" si="354"/>
        <v>2580</v>
      </c>
      <c r="P690" s="67">
        <f t="shared" ref="P690" si="355">SUM(P691:P698)</f>
        <v>0</v>
      </c>
      <c r="Q690" s="87">
        <f t="shared" si="310"/>
        <v>-1</v>
      </c>
      <c r="R690" s="204" t="s">
        <v>869</v>
      </c>
      <c r="Y690" s="49"/>
    </row>
    <row r="691" spans="1:25" ht="14.1" customHeight="1" x14ac:dyDescent="0.2">
      <c r="A691" s="89"/>
      <c r="B691" s="90"/>
      <c r="C691" s="154" t="s">
        <v>121</v>
      </c>
      <c r="D691" s="157">
        <v>0</v>
      </c>
      <c r="E691" s="158"/>
      <c r="F691" s="153">
        <f t="shared" si="342"/>
        <v>0</v>
      </c>
      <c r="G691" s="153"/>
      <c r="H691" s="153">
        <f t="shared" si="351"/>
        <v>0</v>
      </c>
      <c r="I691" s="158"/>
      <c r="J691" s="159"/>
      <c r="K691" s="153"/>
      <c r="L691" s="153"/>
      <c r="M691" s="153"/>
      <c r="N691" s="153">
        <f>+L691+M691</f>
        <v>0</v>
      </c>
      <c r="O691" s="153"/>
      <c r="P691" s="155">
        <f>+M691+N691</f>
        <v>0</v>
      </c>
      <c r="Q691" s="87">
        <v>0</v>
      </c>
      <c r="R691" s="203"/>
    </row>
    <row r="692" spans="1:25" ht="14.1" customHeight="1" x14ac:dyDescent="0.2">
      <c r="A692" s="89"/>
      <c r="B692" s="90"/>
      <c r="C692" s="154" t="s">
        <v>122</v>
      </c>
      <c r="D692" s="157">
        <v>0</v>
      </c>
      <c r="E692" s="158"/>
      <c r="F692" s="153">
        <f t="shared" si="342"/>
        <v>0</v>
      </c>
      <c r="G692" s="153"/>
      <c r="H692" s="153">
        <f t="shared" si="351"/>
        <v>0</v>
      </c>
      <c r="I692" s="158">
        <v>61</v>
      </c>
      <c r="J692" s="159">
        <v>100</v>
      </c>
      <c r="K692" s="153"/>
      <c r="L692" s="153">
        <v>100</v>
      </c>
      <c r="M692" s="153"/>
      <c r="N692" s="153">
        <f t="shared" ref="N692:N698" si="356">+L692+M692</f>
        <v>100</v>
      </c>
      <c r="O692" s="153">
        <v>63</v>
      </c>
      <c r="P692" s="155">
        <v>0</v>
      </c>
      <c r="Q692" s="87">
        <v>0</v>
      </c>
      <c r="R692" s="203"/>
    </row>
    <row r="693" spans="1:25" ht="14.1" customHeight="1" x14ac:dyDescent="0.2">
      <c r="A693" s="89"/>
      <c r="B693" s="90"/>
      <c r="C693" s="154" t="s">
        <v>123</v>
      </c>
      <c r="D693" s="157">
        <v>500</v>
      </c>
      <c r="E693" s="158"/>
      <c r="F693" s="153">
        <f t="shared" si="342"/>
        <v>500</v>
      </c>
      <c r="G693" s="153"/>
      <c r="H693" s="153">
        <f t="shared" si="351"/>
        <v>500</v>
      </c>
      <c r="I693" s="158">
        <v>105</v>
      </c>
      <c r="J693" s="159">
        <v>160</v>
      </c>
      <c r="K693" s="153"/>
      <c r="L693" s="153">
        <v>160</v>
      </c>
      <c r="M693" s="153"/>
      <c r="N693" s="153">
        <f t="shared" si="356"/>
        <v>160</v>
      </c>
      <c r="O693" s="153">
        <v>890</v>
      </c>
      <c r="P693" s="155">
        <v>0</v>
      </c>
      <c r="Q693" s="87">
        <v>0</v>
      </c>
      <c r="R693" s="203"/>
    </row>
    <row r="694" spans="1:25" ht="14.1" customHeight="1" x14ac:dyDescent="0.2">
      <c r="A694" s="89"/>
      <c r="B694" s="90"/>
      <c r="C694" s="154" t="s">
        <v>286</v>
      </c>
      <c r="D694" s="157">
        <v>0</v>
      </c>
      <c r="E694" s="158"/>
      <c r="F694" s="153">
        <f t="shared" si="342"/>
        <v>0</v>
      </c>
      <c r="G694" s="153"/>
      <c r="H694" s="153">
        <f t="shared" si="351"/>
        <v>0</v>
      </c>
      <c r="I694" s="158">
        <v>1001</v>
      </c>
      <c r="J694" s="159">
        <v>2000</v>
      </c>
      <c r="K694" s="153"/>
      <c r="L694" s="153">
        <v>2000</v>
      </c>
      <c r="M694" s="153"/>
      <c r="N694" s="153">
        <f t="shared" si="356"/>
        <v>2000</v>
      </c>
      <c r="O694" s="153">
        <v>1477</v>
      </c>
      <c r="P694" s="155">
        <v>0</v>
      </c>
      <c r="Q694" s="87">
        <v>0</v>
      </c>
      <c r="R694" s="203"/>
    </row>
    <row r="695" spans="1:25" ht="14.1" customHeight="1" x14ac:dyDescent="0.2">
      <c r="A695" s="89"/>
      <c r="B695" s="90"/>
      <c r="C695" s="154" t="s">
        <v>678</v>
      </c>
      <c r="D695" s="157"/>
      <c r="E695" s="158"/>
      <c r="F695" s="153"/>
      <c r="G695" s="153"/>
      <c r="H695" s="153"/>
      <c r="I695" s="158"/>
      <c r="J695" s="159">
        <v>0</v>
      </c>
      <c r="K695" s="153"/>
      <c r="L695" s="153">
        <v>0</v>
      </c>
      <c r="M695" s="153"/>
      <c r="N695" s="153">
        <f t="shared" si="356"/>
        <v>0</v>
      </c>
      <c r="O695" s="153"/>
      <c r="P695" s="155">
        <f>+M695+N695</f>
        <v>0</v>
      </c>
      <c r="Q695" s="87">
        <v>0</v>
      </c>
      <c r="R695" s="203"/>
    </row>
    <row r="696" spans="1:25" ht="14.1" customHeight="1" x14ac:dyDescent="0.2">
      <c r="A696" s="89"/>
      <c r="B696" s="90"/>
      <c r="C696" s="154" t="s">
        <v>125</v>
      </c>
      <c r="D696" s="157">
        <v>0</v>
      </c>
      <c r="E696" s="158"/>
      <c r="F696" s="153">
        <f t="shared" ref="F696:F728" si="357">+E696+D696</f>
        <v>0</v>
      </c>
      <c r="G696" s="153"/>
      <c r="H696" s="153">
        <f t="shared" si="351"/>
        <v>0</v>
      </c>
      <c r="I696" s="158"/>
      <c r="J696" s="159"/>
      <c r="K696" s="153"/>
      <c r="L696" s="153"/>
      <c r="M696" s="153"/>
      <c r="N696" s="153">
        <f t="shared" si="356"/>
        <v>0</v>
      </c>
      <c r="O696" s="153">
        <v>150</v>
      </c>
      <c r="P696" s="155">
        <f>+M696+N696</f>
        <v>0</v>
      </c>
      <c r="Q696" s="87">
        <v>0</v>
      </c>
      <c r="R696" s="203"/>
    </row>
    <row r="697" spans="1:25" ht="14.1" customHeight="1" x14ac:dyDescent="0.2">
      <c r="A697" s="89"/>
      <c r="B697" s="90"/>
      <c r="C697" s="154" t="s">
        <v>127</v>
      </c>
      <c r="D697" s="157">
        <v>0</v>
      </c>
      <c r="E697" s="158"/>
      <c r="F697" s="153">
        <f t="shared" si="357"/>
        <v>0</v>
      </c>
      <c r="G697" s="153"/>
      <c r="H697" s="153">
        <f t="shared" si="351"/>
        <v>0</v>
      </c>
      <c r="I697" s="158"/>
      <c r="J697" s="159"/>
      <c r="K697" s="153"/>
      <c r="L697" s="153"/>
      <c r="M697" s="153"/>
      <c r="N697" s="153">
        <f t="shared" si="356"/>
        <v>0</v>
      </c>
      <c r="O697" s="153"/>
      <c r="P697" s="155">
        <f>+M697+N697</f>
        <v>0</v>
      </c>
      <c r="Q697" s="87">
        <v>0</v>
      </c>
      <c r="R697" s="203"/>
    </row>
    <row r="698" spans="1:25" ht="14.1" customHeight="1" x14ac:dyDescent="0.2">
      <c r="A698" s="89"/>
      <c r="B698" s="90"/>
      <c r="C698" s="154" t="s">
        <v>287</v>
      </c>
      <c r="D698" s="157">
        <v>0</v>
      </c>
      <c r="E698" s="158"/>
      <c r="F698" s="153">
        <f t="shared" si="357"/>
        <v>0</v>
      </c>
      <c r="G698" s="153"/>
      <c r="H698" s="153">
        <f t="shared" si="351"/>
        <v>0</v>
      </c>
      <c r="I698" s="158"/>
      <c r="J698" s="159"/>
      <c r="K698" s="153"/>
      <c r="L698" s="153"/>
      <c r="M698" s="153"/>
      <c r="N698" s="153">
        <f t="shared" si="356"/>
        <v>0</v>
      </c>
      <c r="O698" s="153"/>
      <c r="P698" s="155">
        <f>+M698+N698</f>
        <v>0</v>
      </c>
      <c r="Q698" s="87">
        <v>0</v>
      </c>
      <c r="R698" s="203"/>
    </row>
    <row r="699" spans="1:25" ht="14.1" customHeight="1" x14ac:dyDescent="0.2">
      <c r="A699" s="89"/>
      <c r="B699" s="90">
        <v>5513</v>
      </c>
      <c r="C699" s="72" t="s">
        <v>130</v>
      </c>
      <c r="D699" s="102">
        <v>0</v>
      </c>
      <c r="E699" s="71"/>
      <c r="F699" s="74">
        <f t="shared" si="357"/>
        <v>0</v>
      </c>
      <c r="G699" s="74"/>
      <c r="H699" s="74">
        <f t="shared" si="351"/>
        <v>0</v>
      </c>
      <c r="I699" s="71">
        <v>74</v>
      </c>
      <c r="J699" s="73">
        <v>150</v>
      </c>
      <c r="K699" s="74"/>
      <c r="L699" s="74">
        <v>150</v>
      </c>
      <c r="M699" s="74"/>
      <c r="N699" s="74">
        <f t="shared" ref="N699:N705" si="358">+M699+L699</f>
        <v>150</v>
      </c>
      <c r="O699" s="74"/>
      <c r="P699" s="67">
        <v>100</v>
      </c>
      <c r="Q699" s="87">
        <f t="shared" ref="Q699:Q759" si="359">(P699-N699)/N699</f>
        <v>-0.33333333333333331</v>
      </c>
      <c r="R699" s="203"/>
    </row>
    <row r="700" spans="1:25" ht="14.1" customHeight="1" x14ac:dyDescent="0.2">
      <c r="A700" s="89"/>
      <c r="B700" s="90" t="s">
        <v>131</v>
      </c>
      <c r="C700" s="72" t="s">
        <v>112</v>
      </c>
      <c r="D700" s="102">
        <v>700</v>
      </c>
      <c r="E700" s="71"/>
      <c r="F700" s="74">
        <f t="shared" si="357"/>
        <v>700</v>
      </c>
      <c r="G700" s="74"/>
      <c r="H700" s="74">
        <f t="shared" si="351"/>
        <v>700</v>
      </c>
      <c r="I700" s="71">
        <v>718</v>
      </c>
      <c r="J700" s="73">
        <v>2000</v>
      </c>
      <c r="K700" s="74"/>
      <c r="L700" s="74">
        <v>2000</v>
      </c>
      <c r="M700" s="74"/>
      <c r="N700" s="74">
        <f t="shared" si="358"/>
        <v>2000</v>
      </c>
      <c r="O700" s="74">
        <v>802</v>
      </c>
      <c r="P700" s="67">
        <v>1200</v>
      </c>
      <c r="Q700" s="87">
        <f t="shared" si="359"/>
        <v>-0.4</v>
      </c>
      <c r="R700" s="203"/>
    </row>
    <row r="701" spans="1:25" ht="14.1" customHeight="1" x14ac:dyDescent="0.2">
      <c r="A701" s="89"/>
      <c r="B701" s="90">
        <v>5515</v>
      </c>
      <c r="C701" s="72" t="s">
        <v>133</v>
      </c>
      <c r="D701" s="102">
        <v>0</v>
      </c>
      <c r="E701" s="71"/>
      <c r="F701" s="74">
        <f t="shared" si="357"/>
        <v>0</v>
      </c>
      <c r="G701" s="74"/>
      <c r="H701" s="74">
        <f t="shared" si="351"/>
        <v>0</v>
      </c>
      <c r="I701" s="71"/>
      <c r="J701" s="73">
        <v>4400</v>
      </c>
      <c r="K701" s="74"/>
      <c r="L701" s="74">
        <v>4400</v>
      </c>
      <c r="M701" s="74"/>
      <c r="N701" s="74">
        <f t="shared" si="358"/>
        <v>4400</v>
      </c>
      <c r="O701" s="74">
        <v>1173</v>
      </c>
      <c r="P701" s="67">
        <v>4400</v>
      </c>
      <c r="Q701" s="87">
        <f t="shared" si="359"/>
        <v>0</v>
      </c>
      <c r="R701" s="203"/>
    </row>
    <row r="702" spans="1:25" ht="14.1" customHeight="1" x14ac:dyDescent="0.2">
      <c r="A702" s="89"/>
      <c r="B702" s="90" t="s">
        <v>134</v>
      </c>
      <c r="C702" s="72" t="s">
        <v>135</v>
      </c>
      <c r="D702" s="102">
        <v>0</v>
      </c>
      <c r="E702" s="71"/>
      <c r="F702" s="74">
        <f t="shared" si="357"/>
        <v>0</v>
      </c>
      <c r="G702" s="74"/>
      <c r="H702" s="74">
        <f t="shared" si="351"/>
        <v>0</v>
      </c>
      <c r="I702" s="71"/>
      <c r="J702" s="73"/>
      <c r="K702" s="74"/>
      <c r="L702" s="74"/>
      <c r="M702" s="74"/>
      <c r="N702" s="74">
        <f t="shared" si="358"/>
        <v>0</v>
      </c>
      <c r="O702" s="74">
        <v>112</v>
      </c>
      <c r="P702" s="67">
        <f>+N702+M702</f>
        <v>0</v>
      </c>
      <c r="Q702" s="87">
        <v>0</v>
      </c>
      <c r="R702" s="204" t="s">
        <v>869</v>
      </c>
    </row>
    <row r="703" spans="1:25" ht="14.1" customHeight="1" x14ac:dyDescent="0.2">
      <c r="A703" s="89"/>
      <c r="B703" s="90">
        <v>5522</v>
      </c>
      <c r="C703" s="72" t="s">
        <v>137</v>
      </c>
      <c r="D703" s="102">
        <v>0</v>
      </c>
      <c r="E703" s="71"/>
      <c r="F703" s="74">
        <f t="shared" si="357"/>
        <v>0</v>
      </c>
      <c r="G703" s="74"/>
      <c r="H703" s="74">
        <f t="shared" si="351"/>
        <v>0</v>
      </c>
      <c r="I703" s="71"/>
      <c r="J703" s="73"/>
      <c r="K703" s="74"/>
      <c r="L703" s="74"/>
      <c r="M703" s="74"/>
      <c r="N703" s="74">
        <f t="shared" si="358"/>
        <v>0</v>
      </c>
      <c r="O703" s="74"/>
      <c r="P703" s="67">
        <f>+N703+M703</f>
        <v>0</v>
      </c>
      <c r="Q703" s="87">
        <v>0</v>
      </c>
      <c r="R703" s="203"/>
    </row>
    <row r="704" spans="1:25" ht="14.1" customHeight="1" x14ac:dyDescent="0.2">
      <c r="A704" s="89"/>
      <c r="B704" s="90">
        <v>5524</v>
      </c>
      <c r="C704" s="72" t="s">
        <v>870</v>
      </c>
      <c r="D704" s="102"/>
      <c r="E704" s="71"/>
      <c r="F704" s="74"/>
      <c r="G704" s="74"/>
      <c r="H704" s="74"/>
      <c r="I704" s="71"/>
      <c r="J704" s="73"/>
      <c r="K704" s="74"/>
      <c r="L704" s="74"/>
      <c r="M704" s="74"/>
      <c r="N704" s="74"/>
      <c r="O704" s="74"/>
      <c r="P704" s="67">
        <v>0</v>
      </c>
      <c r="Q704" s="87">
        <v>1</v>
      </c>
      <c r="R704" s="203"/>
    </row>
    <row r="705" spans="1:24" ht="14.1" customHeight="1" x14ac:dyDescent="0.2">
      <c r="A705" s="89"/>
      <c r="B705" s="90" t="s">
        <v>279</v>
      </c>
      <c r="C705" s="72" t="s">
        <v>280</v>
      </c>
      <c r="D705" s="102">
        <v>1300</v>
      </c>
      <c r="E705" s="71"/>
      <c r="F705" s="74">
        <f t="shared" si="357"/>
        <v>1300</v>
      </c>
      <c r="G705" s="74"/>
      <c r="H705" s="74">
        <f t="shared" si="351"/>
        <v>1300</v>
      </c>
      <c r="I705" s="71">
        <v>821</v>
      </c>
      <c r="J705" s="73">
        <v>1300</v>
      </c>
      <c r="K705" s="74"/>
      <c r="L705" s="74">
        <v>1300</v>
      </c>
      <c r="M705" s="74"/>
      <c r="N705" s="74">
        <f t="shared" si="358"/>
        <v>1300</v>
      </c>
      <c r="O705" s="74">
        <v>1149</v>
      </c>
      <c r="P705" s="67">
        <v>1500</v>
      </c>
      <c r="Q705" s="87">
        <f t="shared" si="359"/>
        <v>0.15384615384615385</v>
      </c>
      <c r="R705" s="203"/>
    </row>
    <row r="706" spans="1:24" ht="14.1" customHeight="1" x14ac:dyDescent="0.2">
      <c r="A706" s="89"/>
      <c r="B706" s="90" t="s">
        <v>138</v>
      </c>
      <c r="C706" s="72" t="s">
        <v>139</v>
      </c>
      <c r="D706" s="102">
        <v>300</v>
      </c>
      <c r="E706" s="71"/>
      <c r="F706" s="74">
        <f t="shared" si="357"/>
        <v>300</v>
      </c>
      <c r="G706" s="74"/>
      <c r="H706" s="74">
        <f t="shared" si="351"/>
        <v>300</v>
      </c>
      <c r="I706" s="71">
        <v>219</v>
      </c>
      <c r="J706" s="73">
        <v>1000</v>
      </c>
      <c r="K706" s="74"/>
      <c r="L706" s="74">
        <f>+K706+J706</f>
        <v>1000</v>
      </c>
      <c r="M706" s="74"/>
      <c r="N706" s="74">
        <f t="shared" ref="N706" si="360">+M706+L706</f>
        <v>1000</v>
      </c>
      <c r="O706" s="74">
        <v>617</v>
      </c>
      <c r="P706" s="67">
        <v>2000</v>
      </c>
      <c r="Q706" s="87">
        <f t="shared" si="359"/>
        <v>1</v>
      </c>
      <c r="R706" s="203" t="s">
        <v>871</v>
      </c>
    </row>
    <row r="707" spans="1:24" ht="14.1" customHeight="1" x14ac:dyDescent="0.2">
      <c r="A707" s="146" t="s">
        <v>679</v>
      </c>
      <c r="B707" s="147"/>
      <c r="C707" s="148" t="s">
        <v>288</v>
      </c>
      <c r="D707" s="149">
        <v>18550</v>
      </c>
      <c r="E707" s="150"/>
      <c r="F707" s="137">
        <f t="shared" si="357"/>
        <v>18550</v>
      </c>
      <c r="G707" s="137">
        <v>0</v>
      </c>
      <c r="H707" s="137">
        <f>+H708+H709</f>
        <v>18550</v>
      </c>
      <c r="I707" s="151">
        <f>+I708+I709</f>
        <v>15324</v>
      </c>
      <c r="J707" s="152">
        <f>+J708+J709</f>
        <v>22440</v>
      </c>
      <c r="K707" s="152">
        <f t="shared" ref="K707:L707" si="361">+K708+K709</f>
        <v>0</v>
      </c>
      <c r="L707" s="152">
        <f t="shared" si="361"/>
        <v>22440</v>
      </c>
      <c r="M707" s="152">
        <f t="shared" ref="M707:N707" si="362">+M708+M709</f>
        <v>0</v>
      </c>
      <c r="N707" s="152">
        <f t="shared" si="362"/>
        <v>22440</v>
      </c>
      <c r="O707" s="152">
        <f t="shared" ref="O707:P707" si="363">+O708+O709</f>
        <v>16512</v>
      </c>
      <c r="P707" s="152">
        <f t="shared" si="363"/>
        <v>18419</v>
      </c>
      <c r="Q707" s="87">
        <f t="shared" si="359"/>
        <v>-0.17918894830659537</v>
      </c>
      <c r="R707" s="203" t="s">
        <v>876</v>
      </c>
    </row>
    <row r="708" spans="1:24" ht="14.1" customHeight="1" x14ac:dyDescent="0.2">
      <c r="A708" s="89"/>
      <c r="B708" s="95" t="s">
        <v>101</v>
      </c>
      <c r="C708" s="96" t="s">
        <v>102</v>
      </c>
      <c r="D708" s="43">
        <v>9600</v>
      </c>
      <c r="E708" s="71"/>
      <c r="F708" s="98">
        <f t="shared" si="357"/>
        <v>9600</v>
      </c>
      <c r="G708" s="98"/>
      <c r="H708" s="98">
        <f>+G708+F708</f>
        <v>9600</v>
      </c>
      <c r="I708" s="97">
        <v>7985</v>
      </c>
      <c r="J708" s="73">
        <v>10490</v>
      </c>
      <c r="K708" s="74"/>
      <c r="L708" s="140">
        <f>+K708+J708</f>
        <v>10490</v>
      </c>
      <c r="M708" s="140"/>
      <c r="N708" s="140">
        <f t="shared" ref="N708" si="364">+M708+L708</f>
        <v>10490</v>
      </c>
      <c r="O708" s="140">
        <v>8430</v>
      </c>
      <c r="P708" s="67">
        <v>8028</v>
      </c>
      <c r="Q708" s="87">
        <f t="shared" si="359"/>
        <v>-0.23469971401334605</v>
      </c>
      <c r="R708" s="206" t="s">
        <v>878</v>
      </c>
      <c r="S708" s="206" t="s">
        <v>877</v>
      </c>
      <c r="X708" s="56" t="s">
        <v>879</v>
      </c>
    </row>
    <row r="709" spans="1:24" ht="14.1" customHeight="1" x14ac:dyDescent="0.2">
      <c r="A709" s="89"/>
      <c r="B709" s="95" t="s">
        <v>103</v>
      </c>
      <c r="C709" s="96" t="s">
        <v>104</v>
      </c>
      <c r="D709" s="43">
        <v>8950</v>
      </c>
      <c r="E709" s="71"/>
      <c r="F709" s="98">
        <f t="shared" si="357"/>
        <v>8950</v>
      </c>
      <c r="G709" s="98"/>
      <c r="H709" s="98">
        <f t="shared" ref="H709:H729" si="365">+G709+F709</f>
        <v>8950</v>
      </c>
      <c r="I709" s="97">
        <f>+I710+I711+I712+I713+I722+I723+I724+I725+I726+I727+I728+I729</f>
        <v>7339</v>
      </c>
      <c r="J709" s="73">
        <f>+J710+J711+J712+J713+J722+J723+J724+J725+J726+J727+J728+J729</f>
        <v>11950</v>
      </c>
      <c r="K709" s="73">
        <f>+K710+K711+K712+K713+K722+K723+K724+K725+K726+K727+K728+K729</f>
        <v>0</v>
      </c>
      <c r="L709" s="141">
        <f>+L710+L711+L712+L713+L722+L723+L724+L725+L726+L727+L728+L729</f>
        <v>11950</v>
      </c>
      <c r="M709" s="141">
        <f t="shared" ref="M709:N709" si="366">+M710+M711+M712+M713+M722+M723+M724+M725+M726+M727+M728+M729</f>
        <v>0</v>
      </c>
      <c r="N709" s="141">
        <f t="shared" si="366"/>
        <v>11950</v>
      </c>
      <c r="O709" s="141">
        <f t="shared" ref="O709" si="367">+O710+O711+O712+O713+O722+O723+O724+O725+O726+O727+O728+O729</f>
        <v>8082</v>
      </c>
      <c r="P709" s="141">
        <f t="shared" ref="P709" si="368">+P710+P711+P712+P713+P722+P723+P724+P725+P726+P727+P728+P729</f>
        <v>10391</v>
      </c>
      <c r="Q709" s="87">
        <f t="shared" si="359"/>
        <v>-0.1304602510460251</v>
      </c>
      <c r="R709" s="203"/>
    </row>
    <row r="710" spans="1:24" ht="14.1" customHeight="1" x14ac:dyDescent="0.2">
      <c r="A710" s="89"/>
      <c r="B710" s="90" t="s">
        <v>105</v>
      </c>
      <c r="C710" s="72" t="s">
        <v>115</v>
      </c>
      <c r="D710" s="102">
        <v>1950</v>
      </c>
      <c r="E710" s="71"/>
      <c r="F710" s="74">
        <f t="shared" si="357"/>
        <v>1950</v>
      </c>
      <c r="G710" s="74"/>
      <c r="H710" s="74">
        <f t="shared" si="365"/>
        <v>1950</v>
      </c>
      <c r="I710" s="71">
        <v>1456</v>
      </c>
      <c r="J710" s="73">
        <v>2550</v>
      </c>
      <c r="K710" s="74"/>
      <c r="L710" s="74">
        <v>2550</v>
      </c>
      <c r="M710" s="74"/>
      <c r="N710" s="74">
        <f t="shared" ref="N710:N711" si="369">+L710+M710</f>
        <v>2550</v>
      </c>
      <c r="O710" s="74">
        <v>1706</v>
      </c>
      <c r="P710" s="67">
        <v>1600</v>
      </c>
      <c r="Q710" s="87">
        <f t="shared" si="359"/>
        <v>-0.37254901960784315</v>
      </c>
      <c r="R710" s="203"/>
    </row>
    <row r="711" spans="1:24" ht="14.1" customHeight="1" x14ac:dyDescent="0.2">
      <c r="A711" s="89"/>
      <c r="B711" s="90">
        <v>5503</v>
      </c>
      <c r="C711" s="72" t="s">
        <v>289</v>
      </c>
      <c r="D711" s="102">
        <v>200</v>
      </c>
      <c r="E711" s="71"/>
      <c r="F711" s="74">
        <f t="shared" si="357"/>
        <v>200</v>
      </c>
      <c r="G711" s="74"/>
      <c r="H711" s="74">
        <f t="shared" si="365"/>
        <v>200</v>
      </c>
      <c r="I711" s="71"/>
      <c r="J711" s="73"/>
      <c r="K711" s="74"/>
      <c r="L711" s="74"/>
      <c r="M711" s="74"/>
      <c r="N711" s="74">
        <f t="shared" si="369"/>
        <v>0</v>
      </c>
      <c r="O711" s="74"/>
      <c r="P711" s="67">
        <v>300</v>
      </c>
      <c r="Q711" s="87">
        <v>1</v>
      </c>
      <c r="R711" s="203"/>
    </row>
    <row r="712" spans="1:24" ht="14.1" customHeight="1" x14ac:dyDescent="0.2">
      <c r="A712" s="89"/>
      <c r="B712" s="90" t="s">
        <v>108</v>
      </c>
      <c r="C712" s="72" t="s">
        <v>118</v>
      </c>
      <c r="D712" s="102">
        <v>0</v>
      </c>
      <c r="E712" s="71"/>
      <c r="F712" s="74">
        <f t="shared" si="357"/>
        <v>0</v>
      </c>
      <c r="G712" s="74"/>
      <c r="H712" s="74">
        <f t="shared" si="365"/>
        <v>0</v>
      </c>
      <c r="I712" s="71">
        <v>1001</v>
      </c>
      <c r="J712" s="73">
        <v>800</v>
      </c>
      <c r="K712" s="74"/>
      <c r="L712" s="74">
        <v>800</v>
      </c>
      <c r="M712" s="74"/>
      <c r="N712" s="74">
        <f>+L712+M712</f>
        <v>800</v>
      </c>
      <c r="O712" s="74">
        <v>249</v>
      </c>
      <c r="P712" s="67">
        <v>300</v>
      </c>
      <c r="Q712" s="87">
        <f t="shared" si="359"/>
        <v>-0.625</v>
      </c>
      <c r="R712" s="203" t="s">
        <v>864</v>
      </c>
    </row>
    <row r="713" spans="1:24" ht="14.1" customHeight="1" x14ac:dyDescent="0.2">
      <c r="A713" s="89"/>
      <c r="B713" s="90" t="s">
        <v>119</v>
      </c>
      <c r="C713" s="72" t="s">
        <v>110</v>
      </c>
      <c r="D713" s="102">
        <v>2900</v>
      </c>
      <c r="E713" s="71"/>
      <c r="F713" s="74">
        <f t="shared" si="357"/>
        <v>2900</v>
      </c>
      <c r="G713" s="74"/>
      <c r="H713" s="74">
        <f t="shared" si="365"/>
        <v>2900</v>
      </c>
      <c r="I713" s="71">
        <f>SUM(I714:I721)</f>
        <v>2159</v>
      </c>
      <c r="J713" s="73">
        <f>+J714+J715+J716+J717+J718+J719+J720+J721</f>
        <v>3900</v>
      </c>
      <c r="K713" s="74"/>
      <c r="L713" s="74">
        <f>SUM(L714:L721)</f>
        <v>3900</v>
      </c>
      <c r="M713" s="74">
        <f t="shared" ref="M713:O713" si="370">SUM(M714:M721)</f>
        <v>0</v>
      </c>
      <c r="N713" s="74">
        <f t="shared" si="370"/>
        <v>3900</v>
      </c>
      <c r="O713" s="74">
        <f t="shared" si="370"/>
        <v>2133</v>
      </c>
      <c r="P713" s="67">
        <f>SUM(P714:P721)</f>
        <v>4221</v>
      </c>
      <c r="Q713" s="87">
        <f t="shared" si="359"/>
        <v>8.2307692307692304E-2</v>
      </c>
      <c r="R713" s="204" t="s">
        <v>873</v>
      </c>
      <c r="S713" s="171"/>
    </row>
    <row r="714" spans="1:24" ht="14.1" customHeight="1" x14ac:dyDescent="0.2">
      <c r="A714" s="89"/>
      <c r="B714" s="90"/>
      <c r="C714" s="154" t="s">
        <v>120</v>
      </c>
      <c r="D714" s="157">
        <v>1500</v>
      </c>
      <c r="E714" s="71"/>
      <c r="F714" s="74">
        <f t="shared" si="357"/>
        <v>1500</v>
      </c>
      <c r="G714" s="74"/>
      <c r="H714" s="153">
        <f t="shared" si="365"/>
        <v>1500</v>
      </c>
      <c r="I714" s="158">
        <v>662</v>
      </c>
      <c r="J714" s="159">
        <v>1700</v>
      </c>
      <c r="K714" s="153"/>
      <c r="L714" s="153">
        <v>1700</v>
      </c>
      <c r="M714" s="153"/>
      <c r="N714" s="153">
        <f>+L714+M714</f>
        <v>1700</v>
      </c>
      <c r="O714" s="153">
        <v>507</v>
      </c>
      <c r="P714" s="155">
        <v>2300</v>
      </c>
      <c r="Q714" s="87">
        <f t="shared" si="359"/>
        <v>0.35294117647058826</v>
      </c>
      <c r="R714" s="204"/>
      <c r="S714" s="171"/>
    </row>
    <row r="715" spans="1:24" ht="14.1" customHeight="1" x14ac:dyDescent="0.2">
      <c r="A715" s="89"/>
      <c r="B715" s="90"/>
      <c r="C715" s="154" t="s">
        <v>121</v>
      </c>
      <c r="D715" s="157">
        <v>300</v>
      </c>
      <c r="E715" s="71"/>
      <c r="F715" s="74">
        <f t="shared" si="357"/>
        <v>300</v>
      </c>
      <c r="G715" s="74"/>
      <c r="H715" s="153">
        <f t="shared" si="365"/>
        <v>300</v>
      </c>
      <c r="I715" s="158">
        <v>120</v>
      </c>
      <c r="J715" s="159">
        <v>400</v>
      </c>
      <c r="K715" s="153"/>
      <c r="L715" s="153">
        <v>400</v>
      </c>
      <c r="M715" s="153"/>
      <c r="N715" s="153">
        <f t="shared" ref="N715:N721" si="371">+L715+M715</f>
        <v>400</v>
      </c>
      <c r="O715" s="153">
        <v>175</v>
      </c>
      <c r="P715" s="155">
        <f>+M715+N715</f>
        <v>400</v>
      </c>
      <c r="Q715" s="87">
        <f t="shared" si="359"/>
        <v>0</v>
      </c>
      <c r="R715" s="204"/>
      <c r="S715" s="171"/>
    </row>
    <row r="716" spans="1:24" ht="14.1" customHeight="1" x14ac:dyDescent="0.2">
      <c r="A716" s="89"/>
      <c r="B716" s="90"/>
      <c r="C716" s="154" t="s">
        <v>122</v>
      </c>
      <c r="D716" s="157">
        <v>200</v>
      </c>
      <c r="E716" s="71"/>
      <c r="F716" s="74">
        <f t="shared" si="357"/>
        <v>200</v>
      </c>
      <c r="G716" s="74"/>
      <c r="H716" s="153">
        <f t="shared" si="365"/>
        <v>200</v>
      </c>
      <c r="I716" s="158">
        <v>0</v>
      </c>
      <c r="J716" s="159">
        <v>200</v>
      </c>
      <c r="K716" s="153"/>
      <c r="L716" s="153">
        <v>200</v>
      </c>
      <c r="M716" s="153"/>
      <c r="N716" s="153">
        <f t="shared" si="371"/>
        <v>200</v>
      </c>
      <c r="O716" s="153">
        <v>0</v>
      </c>
      <c r="P716" s="155">
        <v>0</v>
      </c>
      <c r="Q716" s="87">
        <f t="shared" si="359"/>
        <v>-1</v>
      </c>
      <c r="R716" s="204" t="s">
        <v>1574</v>
      </c>
      <c r="S716" s="171"/>
    </row>
    <row r="717" spans="1:24" ht="14.1" customHeight="1" x14ac:dyDescent="0.2">
      <c r="A717" s="89"/>
      <c r="B717" s="90"/>
      <c r="C717" s="154" t="s">
        <v>123</v>
      </c>
      <c r="D717" s="157">
        <v>100</v>
      </c>
      <c r="E717" s="71"/>
      <c r="F717" s="74">
        <f t="shared" si="357"/>
        <v>100</v>
      </c>
      <c r="G717" s="74"/>
      <c r="H717" s="153">
        <f t="shared" si="365"/>
        <v>100</v>
      </c>
      <c r="I717" s="158">
        <v>0</v>
      </c>
      <c r="J717" s="159">
        <v>200</v>
      </c>
      <c r="K717" s="153"/>
      <c r="L717" s="153">
        <v>200</v>
      </c>
      <c r="M717" s="153"/>
      <c r="N717" s="153">
        <f t="shared" si="371"/>
        <v>200</v>
      </c>
      <c r="O717" s="153">
        <v>71</v>
      </c>
      <c r="P717" s="155">
        <v>100</v>
      </c>
      <c r="Q717" s="87">
        <f t="shared" si="359"/>
        <v>-0.5</v>
      </c>
      <c r="R717" s="204"/>
      <c r="S717" s="171"/>
    </row>
    <row r="718" spans="1:24" ht="14.1" customHeight="1" x14ac:dyDescent="0.2">
      <c r="A718" s="89"/>
      <c r="B718" s="90"/>
      <c r="C718" s="154" t="s">
        <v>125</v>
      </c>
      <c r="D718" s="157">
        <v>300</v>
      </c>
      <c r="E718" s="71"/>
      <c r="F718" s="74">
        <f t="shared" si="357"/>
        <v>300</v>
      </c>
      <c r="G718" s="74"/>
      <c r="H718" s="153">
        <f t="shared" si="365"/>
        <v>300</v>
      </c>
      <c r="I718" s="158">
        <v>386</v>
      </c>
      <c r="J718" s="159">
        <v>300</v>
      </c>
      <c r="K718" s="153"/>
      <c r="L718" s="153">
        <v>300</v>
      </c>
      <c r="M718" s="153"/>
      <c r="N718" s="153">
        <f t="shared" si="371"/>
        <v>300</v>
      </c>
      <c r="O718" s="153">
        <v>393</v>
      </c>
      <c r="P718" s="155">
        <v>400</v>
      </c>
      <c r="Q718" s="87">
        <f t="shared" si="359"/>
        <v>0.33333333333333331</v>
      </c>
      <c r="R718" s="204"/>
      <c r="S718" s="171"/>
    </row>
    <row r="719" spans="1:24" ht="14.1" customHeight="1" x14ac:dyDescent="0.2">
      <c r="A719" s="89"/>
      <c r="B719" s="90"/>
      <c r="C719" s="154" t="s">
        <v>282</v>
      </c>
      <c r="D719" s="157">
        <v>500</v>
      </c>
      <c r="E719" s="71"/>
      <c r="F719" s="74">
        <f t="shared" si="357"/>
        <v>500</v>
      </c>
      <c r="G719" s="74"/>
      <c r="H719" s="153">
        <f t="shared" si="365"/>
        <v>500</v>
      </c>
      <c r="I719" s="158">
        <v>169</v>
      </c>
      <c r="J719" s="159">
        <v>300</v>
      </c>
      <c r="K719" s="153"/>
      <c r="L719" s="153">
        <v>300</v>
      </c>
      <c r="M719" s="153"/>
      <c r="N719" s="153">
        <f t="shared" si="371"/>
        <v>300</v>
      </c>
      <c r="O719" s="153"/>
      <c r="P719" s="155">
        <v>0</v>
      </c>
      <c r="Q719" s="87">
        <f t="shared" si="359"/>
        <v>-1</v>
      </c>
      <c r="R719" s="204"/>
      <c r="S719" s="171"/>
    </row>
    <row r="720" spans="1:24" ht="14.1" customHeight="1" x14ac:dyDescent="0.2">
      <c r="A720" s="89"/>
      <c r="B720" s="90"/>
      <c r="C720" s="154" t="s">
        <v>127</v>
      </c>
      <c r="D720" s="157">
        <v>0</v>
      </c>
      <c r="E720" s="71"/>
      <c r="F720" s="74">
        <f t="shared" si="357"/>
        <v>0</v>
      </c>
      <c r="G720" s="74"/>
      <c r="H720" s="153">
        <f t="shared" si="365"/>
        <v>0</v>
      </c>
      <c r="I720" s="158"/>
      <c r="J720" s="159"/>
      <c r="K720" s="153"/>
      <c r="L720" s="153"/>
      <c r="M720" s="153"/>
      <c r="N720" s="153">
        <f t="shared" si="371"/>
        <v>0</v>
      </c>
      <c r="O720" s="153">
        <v>21</v>
      </c>
      <c r="P720" s="155">
        <v>21</v>
      </c>
      <c r="Q720" s="87">
        <v>1</v>
      </c>
      <c r="R720" s="204"/>
      <c r="S720" s="171"/>
    </row>
    <row r="721" spans="1:24" ht="14.1" customHeight="1" x14ac:dyDescent="0.2">
      <c r="A721" s="89"/>
      <c r="B721" s="90"/>
      <c r="C721" s="154" t="s">
        <v>128</v>
      </c>
      <c r="D721" s="157">
        <v>0</v>
      </c>
      <c r="E721" s="71"/>
      <c r="F721" s="74">
        <f t="shared" si="357"/>
        <v>0</v>
      </c>
      <c r="G721" s="74"/>
      <c r="H721" s="153">
        <f t="shared" si="365"/>
        <v>0</v>
      </c>
      <c r="I721" s="158">
        <v>822</v>
      </c>
      <c r="J721" s="159">
        <v>800</v>
      </c>
      <c r="K721" s="153"/>
      <c r="L721" s="153">
        <v>800</v>
      </c>
      <c r="M721" s="153"/>
      <c r="N721" s="153">
        <f t="shared" si="371"/>
        <v>800</v>
      </c>
      <c r="O721" s="153">
        <v>966</v>
      </c>
      <c r="P721" s="155">
        <v>1000</v>
      </c>
      <c r="Q721" s="87">
        <f t="shared" si="359"/>
        <v>0.25</v>
      </c>
      <c r="R721" s="204" t="s">
        <v>874</v>
      </c>
      <c r="S721" s="171"/>
    </row>
    <row r="722" spans="1:24" s="49" customFormat="1" ht="14.1" customHeight="1" x14ac:dyDescent="0.2">
      <c r="A722" s="184"/>
      <c r="B722" s="90">
        <v>5513</v>
      </c>
      <c r="C722" s="72" t="s">
        <v>130</v>
      </c>
      <c r="D722" s="102">
        <v>0</v>
      </c>
      <c r="E722" s="71"/>
      <c r="F722" s="74">
        <f t="shared" si="357"/>
        <v>0</v>
      </c>
      <c r="G722" s="74"/>
      <c r="H722" s="74">
        <f t="shared" si="365"/>
        <v>0</v>
      </c>
      <c r="I722" s="71"/>
      <c r="J722" s="73"/>
      <c r="K722" s="74"/>
      <c r="L722" s="74"/>
      <c r="M722" s="74"/>
      <c r="N722" s="74">
        <f t="shared" ref="N722:N727" si="372">+M722+L722</f>
        <v>0</v>
      </c>
      <c r="O722" s="74"/>
      <c r="P722" s="67">
        <f>+N722+M722</f>
        <v>0</v>
      </c>
      <c r="Q722" s="87">
        <v>0</v>
      </c>
      <c r="R722" s="203"/>
      <c r="S722" s="56"/>
      <c r="T722" s="56"/>
      <c r="U722" s="56"/>
      <c r="V722" s="56"/>
      <c r="W722" s="56"/>
      <c r="X722" s="56"/>
    </row>
    <row r="723" spans="1:24" ht="14.1" customHeight="1" x14ac:dyDescent="0.2">
      <c r="A723" s="89"/>
      <c r="B723" s="90" t="s">
        <v>131</v>
      </c>
      <c r="C723" s="72" t="s">
        <v>112</v>
      </c>
      <c r="D723" s="102">
        <v>300</v>
      </c>
      <c r="E723" s="71"/>
      <c r="F723" s="74">
        <f t="shared" si="357"/>
        <v>300</v>
      </c>
      <c r="G723" s="74"/>
      <c r="H723" s="74">
        <f t="shared" si="365"/>
        <v>300</v>
      </c>
      <c r="I723" s="71">
        <v>550</v>
      </c>
      <c r="J723" s="73">
        <v>500</v>
      </c>
      <c r="K723" s="74"/>
      <c r="L723" s="74">
        <v>500</v>
      </c>
      <c r="M723" s="74"/>
      <c r="N723" s="74">
        <f t="shared" si="372"/>
        <v>500</v>
      </c>
      <c r="O723" s="74">
        <v>663</v>
      </c>
      <c r="P723" s="67">
        <v>700</v>
      </c>
      <c r="Q723" s="87">
        <f t="shared" si="359"/>
        <v>0.4</v>
      </c>
      <c r="R723" s="203"/>
    </row>
    <row r="724" spans="1:24" ht="14.1" customHeight="1" x14ac:dyDescent="0.2">
      <c r="A724" s="89"/>
      <c r="B724" s="90" t="s">
        <v>132</v>
      </c>
      <c r="C724" s="72" t="s">
        <v>133</v>
      </c>
      <c r="D724" s="102">
        <v>500</v>
      </c>
      <c r="E724" s="71"/>
      <c r="F724" s="74">
        <f t="shared" si="357"/>
        <v>500</v>
      </c>
      <c r="G724" s="74"/>
      <c r="H724" s="74">
        <f t="shared" si="365"/>
        <v>500</v>
      </c>
      <c r="I724" s="71"/>
      <c r="J724" s="73">
        <v>500</v>
      </c>
      <c r="K724" s="74"/>
      <c r="L724" s="74">
        <v>500</v>
      </c>
      <c r="M724" s="74"/>
      <c r="N724" s="74">
        <f t="shared" si="372"/>
        <v>500</v>
      </c>
      <c r="O724" s="74">
        <v>150</v>
      </c>
      <c r="P724" s="67">
        <v>200</v>
      </c>
      <c r="Q724" s="87">
        <f t="shared" si="359"/>
        <v>-0.6</v>
      </c>
      <c r="R724" s="203"/>
      <c r="S724" s="53"/>
    </row>
    <row r="725" spans="1:24" ht="14.1" customHeight="1" x14ac:dyDescent="0.2">
      <c r="A725" s="89"/>
      <c r="B725" s="90" t="s">
        <v>134</v>
      </c>
      <c r="C725" s="72" t="s">
        <v>135</v>
      </c>
      <c r="D725" s="102">
        <v>100</v>
      </c>
      <c r="E725" s="71"/>
      <c r="F725" s="74">
        <f t="shared" si="357"/>
        <v>100</v>
      </c>
      <c r="G725" s="74"/>
      <c r="H725" s="74">
        <f t="shared" si="365"/>
        <v>100</v>
      </c>
      <c r="I725" s="71">
        <v>55</v>
      </c>
      <c r="J725" s="73">
        <v>100</v>
      </c>
      <c r="K725" s="74"/>
      <c r="L725" s="74">
        <v>100</v>
      </c>
      <c r="M725" s="74"/>
      <c r="N725" s="74">
        <f t="shared" si="372"/>
        <v>100</v>
      </c>
      <c r="O725" s="74">
        <v>101</v>
      </c>
      <c r="P725" s="67">
        <v>120</v>
      </c>
      <c r="Q725" s="87">
        <f t="shared" si="359"/>
        <v>0.2</v>
      </c>
      <c r="R725" s="203"/>
    </row>
    <row r="726" spans="1:24" ht="14.1" customHeight="1" x14ac:dyDescent="0.2">
      <c r="A726" s="89"/>
      <c r="B726" s="90" t="s">
        <v>136</v>
      </c>
      <c r="C726" s="72" t="s">
        <v>137</v>
      </c>
      <c r="D726" s="102">
        <v>100</v>
      </c>
      <c r="E726" s="71"/>
      <c r="F726" s="74">
        <f t="shared" si="357"/>
        <v>100</v>
      </c>
      <c r="G726" s="74"/>
      <c r="H726" s="74">
        <f t="shared" si="365"/>
        <v>100</v>
      </c>
      <c r="I726" s="71"/>
      <c r="J726" s="73">
        <v>100</v>
      </c>
      <c r="K726" s="74"/>
      <c r="L726" s="74">
        <v>100</v>
      </c>
      <c r="M726" s="74"/>
      <c r="N726" s="74">
        <f t="shared" si="372"/>
        <v>100</v>
      </c>
      <c r="O726" s="74"/>
      <c r="P726" s="67">
        <v>250</v>
      </c>
      <c r="Q726" s="87">
        <f t="shared" si="359"/>
        <v>1.5</v>
      </c>
      <c r="R726" s="203"/>
    </row>
    <row r="727" spans="1:24" ht="14.1" customHeight="1" x14ac:dyDescent="0.2">
      <c r="A727" s="89"/>
      <c r="B727" s="90" t="s">
        <v>279</v>
      </c>
      <c r="C727" s="72" t="s">
        <v>280</v>
      </c>
      <c r="D727" s="102">
        <v>1700</v>
      </c>
      <c r="E727" s="71"/>
      <c r="F727" s="74">
        <f t="shared" si="357"/>
        <v>1700</v>
      </c>
      <c r="G727" s="74"/>
      <c r="H727" s="74">
        <f t="shared" si="365"/>
        <v>1700</v>
      </c>
      <c r="I727" s="71">
        <v>1593</v>
      </c>
      <c r="J727" s="73">
        <v>1800</v>
      </c>
      <c r="K727" s="74"/>
      <c r="L727" s="74">
        <v>1800</v>
      </c>
      <c r="M727" s="74"/>
      <c r="N727" s="74">
        <f t="shared" si="372"/>
        <v>1800</v>
      </c>
      <c r="O727" s="74">
        <v>1474</v>
      </c>
      <c r="P727" s="67">
        <v>2000</v>
      </c>
      <c r="Q727" s="87">
        <f t="shared" si="359"/>
        <v>0.1111111111111111</v>
      </c>
      <c r="R727" s="203"/>
    </row>
    <row r="728" spans="1:24" ht="14.1" customHeight="1" x14ac:dyDescent="0.2">
      <c r="A728" s="89"/>
      <c r="B728" s="90" t="s">
        <v>138</v>
      </c>
      <c r="C728" s="72" t="s">
        <v>139</v>
      </c>
      <c r="D728" s="102">
        <v>900</v>
      </c>
      <c r="E728" s="71"/>
      <c r="F728" s="74">
        <f t="shared" si="357"/>
        <v>900</v>
      </c>
      <c r="G728" s="74"/>
      <c r="H728" s="74">
        <f t="shared" si="365"/>
        <v>900</v>
      </c>
      <c r="I728" s="71">
        <v>525</v>
      </c>
      <c r="J728" s="73">
        <v>1300</v>
      </c>
      <c r="K728" s="74"/>
      <c r="L728" s="74">
        <f>+K728+J728</f>
        <v>1300</v>
      </c>
      <c r="M728" s="74"/>
      <c r="N728" s="74">
        <f t="shared" ref="N728:N729" si="373">+M728+L728</f>
        <v>1300</v>
      </c>
      <c r="O728" s="74">
        <v>1606</v>
      </c>
      <c r="P728" s="67">
        <v>600</v>
      </c>
      <c r="Q728" s="87">
        <f t="shared" si="359"/>
        <v>-0.53846153846153844</v>
      </c>
      <c r="R728" s="206"/>
    </row>
    <row r="729" spans="1:24" ht="14.1" customHeight="1" x14ac:dyDescent="0.2">
      <c r="A729" s="89"/>
      <c r="B729" s="90" t="s">
        <v>164</v>
      </c>
      <c r="C729" s="72" t="s">
        <v>193</v>
      </c>
      <c r="D729" s="102">
        <v>300</v>
      </c>
      <c r="E729" s="71"/>
      <c r="F729" s="74">
        <f t="shared" ref="F729:F763" si="374">+E729+D729</f>
        <v>300</v>
      </c>
      <c r="G729" s="74"/>
      <c r="H729" s="74">
        <f t="shared" si="365"/>
        <v>300</v>
      </c>
      <c r="I729" s="71">
        <v>0</v>
      </c>
      <c r="J729" s="73">
        <v>400</v>
      </c>
      <c r="K729" s="74"/>
      <c r="L729" s="74">
        <v>400</v>
      </c>
      <c r="M729" s="74"/>
      <c r="N729" s="74">
        <f t="shared" si="373"/>
        <v>400</v>
      </c>
      <c r="O729" s="74"/>
      <c r="P729" s="67">
        <v>100</v>
      </c>
      <c r="Q729" s="87">
        <f t="shared" si="359"/>
        <v>-0.75</v>
      </c>
      <c r="R729" s="203"/>
    </row>
    <row r="730" spans="1:24" ht="14.1" customHeight="1" x14ac:dyDescent="0.2">
      <c r="A730" s="146" t="s">
        <v>680</v>
      </c>
      <c r="B730" s="147"/>
      <c r="C730" s="148" t="s">
        <v>291</v>
      </c>
      <c r="D730" s="149">
        <v>26945</v>
      </c>
      <c r="E730" s="151">
        <f>+E731+E732</f>
        <v>7820</v>
      </c>
      <c r="F730" s="137">
        <f t="shared" si="374"/>
        <v>34765</v>
      </c>
      <c r="G730" s="137">
        <f>+G731+G732</f>
        <v>794</v>
      </c>
      <c r="H730" s="137">
        <f>+H731+H732</f>
        <v>35559</v>
      </c>
      <c r="I730" s="151">
        <f>+I731+I732</f>
        <v>22223</v>
      </c>
      <c r="J730" s="152">
        <f>+J731+J732</f>
        <v>26370</v>
      </c>
      <c r="K730" s="152">
        <f t="shared" ref="K730" si="375">+K731+K732</f>
        <v>-4000</v>
      </c>
      <c r="L730" s="152">
        <f>+L731+L732</f>
        <v>21870</v>
      </c>
      <c r="M730" s="152">
        <f t="shared" ref="M730:N730" si="376">+M731+M732</f>
        <v>500</v>
      </c>
      <c r="N730" s="152">
        <f t="shared" si="376"/>
        <v>22370</v>
      </c>
      <c r="O730" s="152">
        <f t="shared" ref="O730:P730" si="377">+O731+O732</f>
        <v>11877</v>
      </c>
      <c r="P730" s="152">
        <f t="shared" si="377"/>
        <v>23740</v>
      </c>
      <c r="Q730" s="87">
        <f t="shared" si="359"/>
        <v>6.1242735806884219E-2</v>
      </c>
      <c r="R730" s="203" t="s">
        <v>875</v>
      </c>
    </row>
    <row r="731" spans="1:24" ht="14.1" customHeight="1" x14ac:dyDescent="0.2">
      <c r="A731" s="89"/>
      <c r="B731" s="95" t="s">
        <v>101</v>
      </c>
      <c r="C731" s="96" t="s">
        <v>102</v>
      </c>
      <c r="D731" s="43">
        <v>10700</v>
      </c>
      <c r="E731" s="71">
        <v>0</v>
      </c>
      <c r="F731" s="74">
        <f t="shared" si="374"/>
        <v>10700</v>
      </c>
      <c r="G731" s="74"/>
      <c r="H731" s="74">
        <f>+G731+F731</f>
        <v>10700</v>
      </c>
      <c r="I731" s="71">
        <v>5057</v>
      </c>
      <c r="J731" s="73">
        <v>10750</v>
      </c>
      <c r="K731" s="74">
        <v>-4000</v>
      </c>
      <c r="L731" s="140">
        <f>+K731+J731</f>
        <v>6750</v>
      </c>
      <c r="M731" s="140"/>
      <c r="N731" s="140">
        <f t="shared" ref="N731" si="378">+M731+L731</f>
        <v>6750</v>
      </c>
      <c r="O731" s="140">
        <v>5653</v>
      </c>
      <c r="P731" s="67">
        <v>11560</v>
      </c>
      <c r="Q731" s="87">
        <f t="shared" si="359"/>
        <v>0.71259259259259256</v>
      </c>
      <c r="R731" s="206" t="s">
        <v>1389</v>
      </c>
    </row>
    <row r="732" spans="1:24" ht="14.1" customHeight="1" x14ac:dyDescent="0.2">
      <c r="A732" s="89"/>
      <c r="B732" s="95" t="s">
        <v>103</v>
      </c>
      <c r="C732" s="96" t="s">
        <v>104</v>
      </c>
      <c r="D732" s="43">
        <v>16245</v>
      </c>
      <c r="E732" s="71">
        <f>SUM(E733:E745)</f>
        <v>7820</v>
      </c>
      <c r="F732" s="74">
        <f t="shared" si="374"/>
        <v>24065</v>
      </c>
      <c r="G732" s="74">
        <f>SUM(G733:G745)</f>
        <v>794</v>
      </c>
      <c r="H732" s="74">
        <f>+G732+F732</f>
        <v>24859</v>
      </c>
      <c r="I732" s="71">
        <f>SUM(I733:I745)</f>
        <v>17166</v>
      </c>
      <c r="J732" s="73">
        <f>SUM(J733:J745)</f>
        <v>15620</v>
      </c>
      <c r="K732" s="74"/>
      <c r="L732" s="141">
        <f>+L733+L734+L735+L736+L739+L740+L741+L742+L743+L744+L745</f>
        <v>15120</v>
      </c>
      <c r="M732" s="141">
        <f t="shared" ref="M732:N732" si="379">+M733+M734+M735+M736+M739+M740+M741+M742+M743+M744+M745</f>
        <v>500</v>
      </c>
      <c r="N732" s="141">
        <f t="shared" si="379"/>
        <v>15620</v>
      </c>
      <c r="O732" s="141">
        <f t="shared" ref="O732" si="380">+O733+O734+O735+O736+O739+O740+O741+O742+O743+O744+O745</f>
        <v>6224</v>
      </c>
      <c r="P732" s="141">
        <f t="shared" ref="P732" si="381">+P733+P734+P735+P736+P739+P740+P741+P742+P743+P744+P745</f>
        <v>12180</v>
      </c>
      <c r="Q732" s="87">
        <f t="shared" si="359"/>
        <v>-0.22023047375160051</v>
      </c>
      <c r="R732" s="203"/>
      <c r="V732" s="212" t="s">
        <v>756</v>
      </c>
      <c r="W732" s="212"/>
    </row>
    <row r="733" spans="1:24" ht="14.1" customHeight="1" x14ac:dyDescent="0.2">
      <c r="A733" s="89"/>
      <c r="B733" s="90" t="s">
        <v>105</v>
      </c>
      <c r="C733" s="72" t="s">
        <v>115</v>
      </c>
      <c r="D733" s="102">
        <v>4045</v>
      </c>
      <c r="E733" s="71"/>
      <c r="F733" s="74">
        <f t="shared" si="374"/>
        <v>4045</v>
      </c>
      <c r="G733" s="74"/>
      <c r="H733" s="74">
        <f t="shared" ref="H733:H745" si="382">+G733+F733</f>
        <v>4045</v>
      </c>
      <c r="I733" s="71">
        <v>2613</v>
      </c>
      <c r="J733" s="73">
        <v>4170</v>
      </c>
      <c r="K733" s="74"/>
      <c r="L733" s="74">
        <v>4170</v>
      </c>
      <c r="M733" s="74"/>
      <c r="N733" s="74">
        <f t="shared" ref="N733:N734" si="383">+L733+M733</f>
        <v>4170</v>
      </c>
      <c r="O733" s="74">
        <v>3267</v>
      </c>
      <c r="P733" s="67">
        <v>3450</v>
      </c>
      <c r="Q733" s="87">
        <f t="shared" si="359"/>
        <v>-0.17266187050359713</v>
      </c>
      <c r="R733" s="203"/>
    </row>
    <row r="734" spans="1:24" ht="14.1" customHeight="1" x14ac:dyDescent="0.2">
      <c r="A734" s="89"/>
      <c r="B734" s="90">
        <v>5503</v>
      </c>
      <c r="C734" s="72" t="s">
        <v>107</v>
      </c>
      <c r="D734" s="102">
        <v>0</v>
      </c>
      <c r="E734" s="71"/>
      <c r="F734" s="74">
        <f t="shared" si="374"/>
        <v>0</v>
      </c>
      <c r="G734" s="74"/>
      <c r="H734" s="74">
        <f t="shared" si="382"/>
        <v>0</v>
      </c>
      <c r="I734" s="71"/>
      <c r="J734" s="73">
        <v>200</v>
      </c>
      <c r="K734" s="74"/>
      <c r="L734" s="74">
        <v>200</v>
      </c>
      <c r="M734" s="74"/>
      <c r="N734" s="74">
        <f t="shared" si="383"/>
        <v>200</v>
      </c>
      <c r="O734" s="74">
        <v>150</v>
      </c>
      <c r="P734" s="67">
        <f>+M734+N734</f>
        <v>200</v>
      </c>
      <c r="Q734" s="87">
        <f t="shared" si="359"/>
        <v>0</v>
      </c>
      <c r="R734" s="203"/>
    </row>
    <row r="735" spans="1:24" ht="14.1" customHeight="1" x14ac:dyDescent="0.2">
      <c r="A735" s="89"/>
      <c r="B735" s="90" t="s">
        <v>108</v>
      </c>
      <c r="C735" s="72" t="s">
        <v>118</v>
      </c>
      <c r="D735" s="102">
        <v>400</v>
      </c>
      <c r="E735" s="71">
        <v>500</v>
      </c>
      <c r="F735" s="74">
        <f t="shared" si="374"/>
        <v>900</v>
      </c>
      <c r="G735" s="74">
        <v>794</v>
      </c>
      <c r="H735" s="74">
        <f t="shared" si="382"/>
        <v>1694</v>
      </c>
      <c r="I735" s="71">
        <v>611</v>
      </c>
      <c r="J735" s="73">
        <v>400</v>
      </c>
      <c r="K735" s="74"/>
      <c r="L735" s="74">
        <v>400</v>
      </c>
      <c r="M735" s="92">
        <v>500</v>
      </c>
      <c r="N735" s="74">
        <f>+L735+M735</f>
        <v>900</v>
      </c>
      <c r="O735" s="74">
        <v>-1993</v>
      </c>
      <c r="P735" s="67">
        <v>1200</v>
      </c>
      <c r="Q735" s="87">
        <f t="shared" si="359"/>
        <v>0.33333333333333331</v>
      </c>
      <c r="R735" s="203" t="s">
        <v>864</v>
      </c>
      <c r="S735" s="171"/>
    </row>
    <row r="736" spans="1:24" ht="14.1" customHeight="1" x14ac:dyDescent="0.2">
      <c r="A736" s="89"/>
      <c r="B736" s="90" t="s">
        <v>119</v>
      </c>
      <c r="C736" s="72" t="s">
        <v>222</v>
      </c>
      <c r="D736" s="102">
        <v>0</v>
      </c>
      <c r="E736" s="71"/>
      <c r="F736" s="74">
        <f t="shared" si="374"/>
        <v>0</v>
      </c>
      <c r="G736" s="74"/>
      <c r="H736" s="74">
        <f t="shared" si="382"/>
        <v>0</v>
      </c>
      <c r="I736" s="71">
        <v>213</v>
      </c>
      <c r="J736" s="73">
        <v>300</v>
      </c>
      <c r="K736" s="74"/>
      <c r="L736" s="74">
        <f>SUM(L737:L738)</f>
        <v>300</v>
      </c>
      <c r="M736" s="74">
        <f t="shared" ref="M736:O736" si="384">SUM(M737:M738)</f>
        <v>0</v>
      </c>
      <c r="N736" s="74">
        <f t="shared" si="384"/>
        <v>300</v>
      </c>
      <c r="O736" s="74">
        <f t="shared" si="384"/>
        <v>170</v>
      </c>
      <c r="P736" s="67">
        <f t="shared" ref="P736" si="385">SUM(P737:P738)</f>
        <v>280</v>
      </c>
      <c r="Q736" s="87">
        <f t="shared" si="359"/>
        <v>-6.6666666666666666E-2</v>
      </c>
      <c r="R736" s="204"/>
      <c r="S736" s="171"/>
    </row>
    <row r="737" spans="1:20" ht="14.1" customHeight="1" x14ac:dyDescent="0.2">
      <c r="A737" s="89"/>
      <c r="B737" s="90"/>
      <c r="C737" s="154" t="s">
        <v>123</v>
      </c>
      <c r="D737" s="157">
        <v>100</v>
      </c>
      <c r="E737" s="71"/>
      <c r="F737" s="74">
        <f t="shared" si="374"/>
        <v>100</v>
      </c>
      <c r="G737" s="74"/>
      <c r="H737" s="153">
        <f t="shared" si="382"/>
        <v>100</v>
      </c>
      <c r="I737" s="158">
        <v>0</v>
      </c>
      <c r="J737" s="159">
        <v>200</v>
      </c>
      <c r="K737" s="153"/>
      <c r="L737" s="153">
        <v>0</v>
      </c>
      <c r="M737" s="153"/>
      <c r="N737" s="153">
        <f t="shared" ref="N737:N738" si="386">+L737+M737</f>
        <v>0</v>
      </c>
      <c r="O737" s="153">
        <v>170</v>
      </c>
      <c r="P737" s="155">
        <v>100</v>
      </c>
      <c r="Q737" s="87">
        <v>1</v>
      </c>
      <c r="R737" s="203"/>
    </row>
    <row r="738" spans="1:20" ht="14.1" customHeight="1" x14ac:dyDescent="0.2">
      <c r="A738" s="89"/>
      <c r="B738" s="90"/>
      <c r="C738" s="154" t="s">
        <v>286</v>
      </c>
      <c r="D738" s="157">
        <v>300</v>
      </c>
      <c r="E738" s="71"/>
      <c r="F738" s="74">
        <f t="shared" si="374"/>
        <v>300</v>
      </c>
      <c r="G738" s="74"/>
      <c r="H738" s="153">
        <f t="shared" si="382"/>
        <v>300</v>
      </c>
      <c r="I738" s="158">
        <v>386</v>
      </c>
      <c r="J738" s="159">
        <v>300</v>
      </c>
      <c r="K738" s="153"/>
      <c r="L738" s="153">
        <v>300</v>
      </c>
      <c r="M738" s="153"/>
      <c r="N738" s="153">
        <f t="shared" si="386"/>
        <v>300</v>
      </c>
      <c r="O738" s="153"/>
      <c r="P738" s="155">
        <v>180</v>
      </c>
      <c r="Q738" s="87">
        <f t="shared" si="359"/>
        <v>-0.4</v>
      </c>
      <c r="R738" s="203" t="s">
        <v>880</v>
      </c>
    </row>
    <row r="739" spans="1:20" ht="14.1" customHeight="1" x14ac:dyDescent="0.2">
      <c r="A739" s="89"/>
      <c r="B739" s="90">
        <v>5513</v>
      </c>
      <c r="C739" s="72" t="s">
        <v>292</v>
      </c>
      <c r="D739" s="102">
        <v>400</v>
      </c>
      <c r="E739" s="71"/>
      <c r="F739" s="74">
        <f t="shared" si="374"/>
        <v>400</v>
      </c>
      <c r="G739" s="74"/>
      <c r="H739" s="74">
        <f t="shared" si="382"/>
        <v>400</v>
      </c>
      <c r="I739" s="71">
        <v>33</v>
      </c>
      <c r="J739" s="73">
        <v>300</v>
      </c>
      <c r="K739" s="74"/>
      <c r="L739" s="74">
        <v>300</v>
      </c>
      <c r="M739" s="74"/>
      <c r="N739" s="74">
        <f>+L739+M739</f>
        <v>300</v>
      </c>
      <c r="O739" s="74">
        <v>127</v>
      </c>
      <c r="P739" s="67">
        <v>250</v>
      </c>
      <c r="Q739" s="87">
        <f t="shared" si="359"/>
        <v>-0.16666666666666666</v>
      </c>
      <c r="R739" s="203"/>
    </row>
    <row r="740" spans="1:20" ht="14.1" customHeight="1" x14ac:dyDescent="0.2">
      <c r="A740" s="89"/>
      <c r="B740" s="90" t="s">
        <v>131</v>
      </c>
      <c r="C740" s="72" t="s">
        <v>112</v>
      </c>
      <c r="D740" s="102">
        <v>2500</v>
      </c>
      <c r="E740" s="71"/>
      <c r="F740" s="74">
        <f t="shared" si="374"/>
        <v>2500</v>
      </c>
      <c r="G740" s="74"/>
      <c r="H740" s="74">
        <f t="shared" si="382"/>
        <v>2500</v>
      </c>
      <c r="I740" s="71">
        <v>599</v>
      </c>
      <c r="J740" s="73">
        <v>1200</v>
      </c>
      <c r="K740" s="74"/>
      <c r="L740" s="74">
        <v>1200</v>
      </c>
      <c r="M740" s="74"/>
      <c r="N740" s="74">
        <f t="shared" ref="N740:N745" si="387">+L740+M740</f>
        <v>1200</v>
      </c>
      <c r="O740" s="74">
        <v>409</v>
      </c>
      <c r="P740" s="67">
        <v>700</v>
      </c>
      <c r="Q740" s="87">
        <f t="shared" si="359"/>
        <v>-0.41666666666666669</v>
      </c>
      <c r="R740" s="203"/>
    </row>
    <row r="741" spans="1:20" ht="14.1" customHeight="1" x14ac:dyDescent="0.2">
      <c r="A741" s="89"/>
      <c r="B741" s="90" t="s">
        <v>132</v>
      </c>
      <c r="C741" s="72" t="s">
        <v>133</v>
      </c>
      <c r="D741" s="102">
        <v>2500</v>
      </c>
      <c r="E741" s="71">
        <v>7320</v>
      </c>
      <c r="F741" s="74">
        <f t="shared" si="374"/>
        <v>9820</v>
      </c>
      <c r="G741" s="74"/>
      <c r="H741" s="74">
        <f t="shared" si="382"/>
        <v>9820</v>
      </c>
      <c r="I741" s="71">
        <v>8515</v>
      </c>
      <c r="J741" s="73">
        <v>3050</v>
      </c>
      <c r="K741" s="74"/>
      <c r="L741" s="74">
        <v>3050</v>
      </c>
      <c r="M741" s="74"/>
      <c r="N741" s="74">
        <f t="shared" si="387"/>
        <v>3050</v>
      </c>
      <c r="O741" s="74">
        <v>569</v>
      </c>
      <c r="P741" s="67">
        <v>700</v>
      </c>
      <c r="Q741" s="87">
        <f t="shared" si="359"/>
        <v>-0.77049180327868849</v>
      </c>
      <c r="R741" s="203" t="s">
        <v>881</v>
      </c>
    </row>
    <row r="742" spans="1:20" ht="14.1" customHeight="1" x14ac:dyDescent="0.2">
      <c r="A742" s="89"/>
      <c r="B742" s="90" t="s">
        <v>136</v>
      </c>
      <c r="C742" s="72" t="s">
        <v>137</v>
      </c>
      <c r="D742" s="102">
        <v>300</v>
      </c>
      <c r="E742" s="71"/>
      <c r="F742" s="74">
        <f t="shared" si="374"/>
        <v>300</v>
      </c>
      <c r="G742" s="74"/>
      <c r="H742" s="74">
        <f t="shared" si="382"/>
        <v>300</v>
      </c>
      <c r="I742" s="71">
        <v>393</v>
      </c>
      <c r="J742" s="73">
        <v>300</v>
      </c>
      <c r="K742" s="74"/>
      <c r="L742" s="74">
        <v>300</v>
      </c>
      <c r="M742" s="74"/>
      <c r="N742" s="74">
        <f t="shared" si="387"/>
        <v>300</v>
      </c>
      <c r="O742" s="74"/>
      <c r="P742" s="67">
        <v>200</v>
      </c>
      <c r="Q742" s="87">
        <f t="shared" si="359"/>
        <v>-0.33333333333333331</v>
      </c>
      <c r="R742" s="203"/>
    </row>
    <row r="743" spans="1:20" ht="14.1" customHeight="1" x14ac:dyDescent="0.2">
      <c r="A743" s="89"/>
      <c r="B743" s="90" t="s">
        <v>279</v>
      </c>
      <c r="C743" s="72" t="s">
        <v>280</v>
      </c>
      <c r="D743" s="102">
        <v>4000</v>
      </c>
      <c r="E743" s="71"/>
      <c r="F743" s="74">
        <f t="shared" si="374"/>
        <v>4000</v>
      </c>
      <c r="G743" s="74"/>
      <c r="H743" s="74">
        <f t="shared" si="382"/>
        <v>4000</v>
      </c>
      <c r="I743" s="71">
        <v>2844</v>
      </c>
      <c r="J743" s="73">
        <v>4000</v>
      </c>
      <c r="K743" s="74"/>
      <c r="L743" s="74">
        <v>4000</v>
      </c>
      <c r="M743" s="74"/>
      <c r="N743" s="74">
        <f t="shared" si="387"/>
        <v>4000</v>
      </c>
      <c r="O743" s="74">
        <v>3015</v>
      </c>
      <c r="P743" s="67">
        <f>+M743+N743</f>
        <v>4000</v>
      </c>
      <c r="Q743" s="87">
        <f t="shared" si="359"/>
        <v>0</v>
      </c>
      <c r="R743" s="206"/>
    </row>
    <row r="744" spans="1:20" ht="14.1" customHeight="1" x14ac:dyDescent="0.2">
      <c r="A744" s="89"/>
      <c r="B744" s="90" t="s">
        <v>138</v>
      </c>
      <c r="C744" s="72" t="s">
        <v>139</v>
      </c>
      <c r="D744" s="102">
        <v>1500</v>
      </c>
      <c r="E744" s="71"/>
      <c r="F744" s="74">
        <f t="shared" si="374"/>
        <v>1500</v>
      </c>
      <c r="G744" s="74"/>
      <c r="H744" s="74">
        <f t="shared" si="382"/>
        <v>1500</v>
      </c>
      <c r="I744" s="71">
        <v>399</v>
      </c>
      <c r="J744" s="73">
        <v>1000</v>
      </c>
      <c r="K744" s="74"/>
      <c r="L744" s="74">
        <v>1000</v>
      </c>
      <c r="M744" s="74"/>
      <c r="N744" s="74">
        <f t="shared" si="387"/>
        <v>1000</v>
      </c>
      <c r="O744" s="74">
        <v>466</v>
      </c>
      <c r="P744" s="67">
        <v>1200</v>
      </c>
      <c r="Q744" s="87">
        <f t="shared" si="359"/>
        <v>0.2</v>
      </c>
      <c r="R744" s="203" t="s">
        <v>882</v>
      </c>
    </row>
    <row r="745" spans="1:20" ht="14.1" customHeight="1" x14ac:dyDescent="0.2">
      <c r="A745" s="89"/>
      <c r="B745" s="90">
        <v>5540</v>
      </c>
      <c r="C745" s="72" t="s">
        <v>193</v>
      </c>
      <c r="D745" s="102">
        <v>600</v>
      </c>
      <c r="E745" s="71"/>
      <c r="F745" s="74">
        <f t="shared" si="374"/>
        <v>600</v>
      </c>
      <c r="G745" s="74"/>
      <c r="H745" s="74">
        <f t="shared" si="382"/>
        <v>600</v>
      </c>
      <c r="I745" s="71">
        <v>560</v>
      </c>
      <c r="J745" s="73">
        <v>200</v>
      </c>
      <c r="K745" s="74"/>
      <c r="L745" s="74">
        <v>200</v>
      </c>
      <c r="M745" s="74"/>
      <c r="N745" s="74">
        <f t="shared" si="387"/>
        <v>200</v>
      </c>
      <c r="O745" s="74">
        <v>44</v>
      </c>
      <c r="P745" s="67">
        <v>0</v>
      </c>
      <c r="Q745" s="87">
        <f t="shared" si="359"/>
        <v>-1</v>
      </c>
      <c r="R745" s="203"/>
    </row>
    <row r="746" spans="1:20" ht="14.1" customHeight="1" x14ac:dyDescent="0.2">
      <c r="A746" s="146" t="s">
        <v>681</v>
      </c>
      <c r="B746" s="147"/>
      <c r="C746" s="148" t="s">
        <v>293</v>
      </c>
      <c r="D746" s="149">
        <v>197515</v>
      </c>
      <c r="E746" s="151">
        <f>+E747+E748</f>
        <v>19075</v>
      </c>
      <c r="F746" s="137">
        <f t="shared" si="374"/>
        <v>216590</v>
      </c>
      <c r="G746" s="137">
        <v>0</v>
      </c>
      <c r="H746" s="137">
        <f>+H747+H748</f>
        <v>216590</v>
      </c>
      <c r="I746" s="151">
        <f>+I747+I748</f>
        <v>147533</v>
      </c>
      <c r="J746" s="152">
        <f>+J747+J748</f>
        <v>216590</v>
      </c>
      <c r="K746" s="152">
        <f t="shared" ref="K746:L746" si="388">+K747+K748</f>
        <v>-11697</v>
      </c>
      <c r="L746" s="152">
        <f t="shared" si="388"/>
        <v>204893</v>
      </c>
      <c r="M746" s="152">
        <f t="shared" ref="M746:N746" si="389">+M747+M748</f>
        <v>0</v>
      </c>
      <c r="N746" s="152">
        <f t="shared" si="389"/>
        <v>204893</v>
      </c>
      <c r="O746" s="152">
        <f t="shared" ref="O746:P746" si="390">+O747+O748</f>
        <v>142833</v>
      </c>
      <c r="P746" s="152">
        <f t="shared" si="390"/>
        <v>205556</v>
      </c>
      <c r="Q746" s="87">
        <f t="shared" si="359"/>
        <v>3.2358352896389823E-3</v>
      </c>
      <c r="R746" s="203" t="s">
        <v>884</v>
      </c>
      <c r="T746" s="56" t="s">
        <v>1390</v>
      </c>
    </row>
    <row r="747" spans="1:20" ht="14.1" customHeight="1" x14ac:dyDescent="0.2">
      <c r="A747" s="89"/>
      <c r="B747" s="90" t="s">
        <v>101</v>
      </c>
      <c r="C747" s="96" t="s">
        <v>102</v>
      </c>
      <c r="D747" s="102">
        <v>85573</v>
      </c>
      <c r="E747" s="71"/>
      <c r="F747" s="74">
        <f t="shared" si="374"/>
        <v>85573</v>
      </c>
      <c r="G747" s="74"/>
      <c r="H747" s="74">
        <f>+G747+F747</f>
        <v>85573</v>
      </c>
      <c r="I747" s="71">
        <v>72079</v>
      </c>
      <c r="J747" s="73">
        <v>85573</v>
      </c>
      <c r="K747" s="74">
        <v>4341</v>
      </c>
      <c r="L747" s="140">
        <f>+K747+J747</f>
        <v>89914</v>
      </c>
      <c r="M747" s="140"/>
      <c r="N747" s="140">
        <f t="shared" ref="N747" si="391">+M747+L747</f>
        <v>89914</v>
      </c>
      <c r="O747" s="140">
        <v>73848</v>
      </c>
      <c r="P747" s="67">
        <v>90556</v>
      </c>
      <c r="Q747" s="87">
        <f t="shared" si="359"/>
        <v>7.1401561492092447E-3</v>
      </c>
      <c r="R747" s="206" t="s">
        <v>885</v>
      </c>
      <c r="S747" s="108" t="s">
        <v>883</v>
      </c>
      <c r="T747" s="108"/>
    </row>
    <row r="748" spans="1:20" ht="13.5" customHeight="1" x14ac:dyDescent="0.2">
      <c r="A748" s="89"/>
      <c r="B748" s="95">
        <v>55</v>
      </c>
      <c r="C748" s="96" t="s">
        <v>104</v>
      </c>
      <c r="D748" s="102">
        <v>111942</v>
      </c>
      <c r="E748" s="71">
        <v>19075</v>
      </c>
      <c r="F748" s="74">
        <f t="shared" si="374"/>
        <v>131017</v>
      </c>
      <c r="G748" s="74"/>
      <c r="H748" s="74">
        <f>+G748+F748</f>
        <v>131017</v>
      </c>
      <c r="I748" s="71">
        <v>75454</v>
      </c>
      <c r="J748" s="73">
        <v>131017</v>
      </c>
      <c r="K748" s="74">
        <v>-16038</v>
      </c>
      <c r="L748" s="141">
        <f>+L749</f>
        <v>114979</v>
      </c>
      <c r="M748" s="141">
        <f t="shared" ref="M748:P748" si="392">+M749</f>
        <v>0</v>
      </c>
      <c r="N748" s="141">
        <f t="shared" si="392"/>
        <v>114979</v>
      </c>
      <c r="O748" s="141">
        <f t="shared" si="392"/>
        <v>68985</v>
      </c>
      <c r="P748" s="141">
        <f t="shared" si="392"/>
        <v>115000</v>
      </c>
      <c r="Q748" s="87">
        <f t="shared" si="359"/>
        <v>1.8264204767827168E-4</v>
      </c>
      <c r="R748" s="203"/>
    </row>
    <row r="749" spans="1:20" ht="13.5" customHeight="1" x14ac:dyDescent="0.2">
      <c r="A749" s="89"/>
      <c r="B749" s="90">
        <v>5523</v>
      </c>
      <c r="C749" s="72" t="s">
        <v>294</v>
      </c>
      <c r="D749" s="102">
        <v>111942</v>
      </c>
      <c r="E749" s="71">
        <v>19075</v>
      </c>
      <c r="F749" s="74">
        <f t="shared" ref="F749" si="393">+E749+D749</f>
        <v>131017</v>
      </c>
      <c r="G749" s="74"/>
      <c r="H749" s="74">
        <f>+G749+F749</f>
        <v>131017</v>
      </c>
      <c r="I749" s="71">
        <v>75454</v>
      </c>
      <c r="J749" s="73">
        <v>131017</v>
      </c>
      <c r="K749" s="74">
        <v>-16038</v>
      </c>
      <c r="L749" s="74">
        <f>+K749+J749</f>
        <v>114979</v>
      </c>
      <c r="M749" s="74"/>
      <c r="N749" s="74">
        <f t="shared" ref="N749" si="394">+M749+L749</f>
        <v>114979</v>
      </c>
      <c r="O749" s="74">
        <v>68985</v>
      </c>
      <c r="P749" s="67">
        <v>115000</v>
      </c>
      <c r="Q749" s="87">
        <f t="shared" si="359"/>
        <v>1.8264204767827168E-4</v>
      </c>
      <c r="R749" s="203"/>
    </row>
    <row r="750" spans="1:20" ht="13.5" customHeight="1" x14ac:dyDescent="0.2">
      <c r="A750" s="146" t="s">
        <v>674</v>
      </c>
      <c r="B750" s="147"/>
      <c r="C750" s="148" t="s">
        <v>295</v>
      </c>
      <c r="D750" s="149">
        <v>28510</v>
      </c>
      <c r="E750" s="150"/>
      <c r="F750" s="137">
        <f t="shared" si="374"/>
        <v>28510</v>
      </c>
      <c r="G750" s="137">
        <v>0</v>
      </c>
      <c r="H750" s="137">
        <f>+H751+H752</f>
        <v>28510</v>
      </c>
      <c r="I750" s="151">
        <f>+I751+I752</f>
        <v>21726</v>
      </c>
      <c r="J750" s="152">
        <f>+J751+J752</f>
        <v>30823</v>
      </c>
      <c r="K750" s="152">
        <f t="shared" ref="K750:L750" si="395">+K751+K752</f>
        <v>0</v>
      </c>
      <c r="L750" s="152">
        <f t="shared" si="395"/>
        <v>30823</v>
      </c>
      <c r="M750" s="152">
        <f t="shared" ref="M750:N750" si="396">+M751+M752</f>
        <v>0</v>
      </c>
      <c r="N750" s="152">
        <f t="shared" si="396"/>
        <v>30823</v>
      </c>
      <c r="O750" s="152">
        <f t="shared" ref="O750:P750" si="397">+O751+O752</f>
        <v>19674</v>
      </c>
      <c r="P750" s="152">
        <f t="shared" si="397"/>
        <v>31163</v>
      </c>
      <c r="Q750" s="87">
        <f t="shared" si="359"/>
        <v>1.1030723810141778E-2</v>
      </c>
      <c r="R750" s="203"/>
    </row>
    <row r="751" spans="1:20" ht="13.5" customHeight="1" x14ac:dyDescent="0.2">
      <c r="A751" s="89"/>
      <c r="B751" s="95" t="s">
        <v>101</v>
      </c>
      <c r="C751" s="96" t="s">
        <v>102</v>
      </c>
      <c r="D751" s="43">
        <v>14700</v>
      </c>
      <c r="E751" s="71"/>
      <c r="F751" s="98">
        <f t="shared" si="374"/>
        <v>14700</v>
      </c>
      <c r="G751" s="98"/>
      <c r="H751" s="98">
        <f>+G751+F751</f>
        <v>14700</v>
      </c>
      <c r="I751" s="71">
        <v>11905</v>
      </c>
      <c r="J751" s="73">
        <v>15750</v>
      </c>
      <c r="K751" s="74"/>
      <c r="L751" s="140">
        <f>+K751+J751</f>
        <v>15750</v>
      </c>
      <c r="M751" s="140"/>
      <c r="N751" s="140">
        <f t="shared" ref="N751" si="398">+M751+L751</f>
        <v>15750</v>
      </c>
      <c r="O751" s="140">
        <v>12665</v>
      </c>
      <c r="P751" s="67">
        <v>18063</v>
      </c>
      <c r="Q751" s="87">
        <f t="shared" si="359"/>
        <v>0.14685714285714285</v>
      </c>
      <c r="R751" s="203" t="s">
        <v>888</v>
      </c>
      <c r="S751" s="213"/>
    </row>
    <row r="752" spans="1:20" ht="13.5" customHeight="1" x14ac:dyDescent="0.2">
      <c r="A752" s="89"/>
      <c r="B752" s="95">
        <v>55</v>
      </c>
      <c r="C752" s="96" t="s">
        <v>104</v>
      </c>
      <c r="D752" s="43">
        <v>13810</v>
      </c>
      <c r="E752" s="71"/>
      <c r="F752" s="98">
        <f t="shared" si="374"/>
        <v>13810</v>
      </c>
      <c r="G752" s="98"/>
      <c r="H752" s="98">
        <f t="shared" ref="H752:H770" si="399">+G752+F752</f>
        <v>13810</v>
      </c>
      <c r="I752" s="71">
        <f>+I753+I754+I755+I756+I764+I765+I766+I768+I769+I770</f>
        <v>9821</v>
      </c>
      <c r="J752" s="73">
        <f>+J753+J754+J755+J756+J764+J765+J766+J768+J769+J770</f>
        <v>15073</v>
      </c>
      <c r="K752" s="73">
        <f>+K753+K754+K755+K756+K764+K765+K766+K768+K769+K770</f>
        <v>0</v>
      </c>
      <c r="L752" s="141">
        <f>+L753+L754+L755+L756+L764+L765+L766+L768+L769+L770</f>
        <v>15073</v>
      </c>
      <c r="M752" s="141">
        <f t="shared" ref="M752:N752" si="400">+M753+M754+M755+M756+M764+M765+M766+M768+M769+M770</f>
        <v>0</v>
      </c>
      <c r="N752" s="141">
        <f t="shared" si="400"/>
        <v>15073</v>
      </c>
      <c r="O752" s="141">
        <f t="shared" ref="O752" si="401">+O753+O754+O755+O756+O764+O765+O766+O768+O769+O770</f>
        <v>7009</v>
      </c>
      <c r="P752" s="141">
        <f>+P753+P754+P755+P756+P764+P765+P766+P768+P769+P770+P767</f>
        <v>13100</v>
      </c>
      <c r="Q752" s="87">
        <f t="shared" si="359"/>
        <v>-0.13089630465069993</v>
      </c>
      <c r="R752" s="204"/>
      <c r="S752" s="171"/>
    </row>
    <row r="753" spans="1:23" ht="12.95" customHeight="1" x14ac:dyDescent="0.2">
      <c r="A753" s="89"/>
      <c r="B753" s="90">
        <v>5500</v>
      </c>
      <c r="C753" s="72" t="s">
        <v>115</v>
      </c>
      <c r="D753" s="102">
        <v>1600</v>
      </c>
      <c r="E753" s="71"/>
      <c r="F753" s="74">
        <f t="shared" si="374"/>
        <v>1600</v>
      </c>
      <c r="G753" s="74"/>
      <c r="H753" s="74">
        <f t="shared" si="399"/>
        <v>1600</v>
      </c>
      <c r="I753" s="71">
        <v>1435</v>
      </c>
      <c r="J753" s="73">
        <v>1800</v>
      </c>
      <c r="K753" s="74"/>
      <c r="L753" s="74">
        <v>1800</v>
      </c>
      <c r="M753" s="74"/>
      <c r="N753" s="74">
        <f t="shared" ref="N753:N754" si="402">+L753+M753</f>
        <v>1800</v>
      </c>
      <c r="O753" s="74">
        <v>1809</v>
      </c>
      <c r="P753" s="67">
        <v>1900</v>
      </c>
      <c r="Q753" s="87">
        <f t="shared" si="359"/>
        <v>5.5555555555555552E-2</v>
      </c>
      <c r="R753" s="203"/>
    </row>
    <row r="754" spans="1:23" ht="13.5" customHeight="1" x14ac:dyDescent="0.2">
      <c r="A754" s="89"/>
      <c r="B754" s="90">
        <v>5503</v>
      </c>
      <c r="C754" s="72" t="s">
        <v>107</v>
      </c>
      <c r="D754" s="102">
        <v>0</v>
      </c>
      <c r="E754" s="71"/>
      <c r="F754" s="74">
        <f t="shared" si="374"/>
        <v>0</v>
      </c>
      <c r="G754" s="74"/>
      <c r="H754" s="74">
        <f t="shared" si="399"/>
        <v>0</v>
      </c>
      <c r="I754" s="71"/>
      <c r="J754" s="73"/>
      <c r="K754" s="74"/>
      <c r="L754" s="74"/>
      <c r="M754" s="74"/>
      <c r="N754" s="74">
        <f t="shared" si="402"/>
        <v>0</v>
      </c>
      <c r="O754" s="74"/>
      <c r="P754" s="67">
        <v>300</v>
      </c>
      <c r="Q754" s="87">
        <v>1</v>
      </c>
      <c r="R754" s="203"/>
    </row>
    <row r="755" spans="1:23" ht="13.5" customHeight="1" x14ac:dyDescent="0.2">
      <c r="A755" s="89"/>
      <c r="B755" s="90">
        <v>5504</v>
      </c>
      <c r="C755" s="72" t="s">
        <v>118</v>
      </c>
      <c r="D755" s="102">
        <v>500</v>
      </c>
      <c r="E755" s="71"/>
      <c r="F755" s="74">
        <f t="shared" si="374"/>
        <v>500</v>
      </c>
      <c r="G755" s="74"/>
      <c r="H755" s="74">
        <f t="shared" si="399"/>
        <v>500</v>
      </c>
      <c r="I755" s="71">
        <v>247</v>
      </c>
      <c r="J755" s="73">
        <v>500</v>
      </c>
      <c r="K755" s="74"/>
      <c r="L755" s="74">
        <v>500</v>
      </c>
      <c r="M755" s="74"/>
      <c r="N755" s="74">
        <f>+L755+M755</f>
        <v>500</v>
      </c>
      <c r="O755" s="74">
        <v>171</v>
      </c>
      <c r="P755" s="67">
        <v>300</v>
      </c>
      <c r="Q755" s="87">
        <f t="shared" si="359"/>
        <v>-0.4</v>
      </c>
      <c r="R755" s="203" t="s">
        <v>864</v>
      </c>
    </row>
    <row r="756" spans="1:23" ht="13.5" customHeight="1" x14ac:dyDescent="0.2">
      <c r="A756" s="89"/>
      <c r="B756" s="90">
        <v>5511</v>
      </c>
      <c r="C756" s="72" t="s">
        <v>222</v>
      </c>
      <c r="D756" s="102">
        <v>6140</v>
      </c>
      <c r="E756" s="71"/>
      <c r="F756" s="74">
        <f t="shared" si="374"/>
        <v>6140</v>
      </c>
      <c r="G756" s="74"/>
      <c r="H756" s="74">
        <f t="shared" si="399"/>
        <v>6140</v>
      </c>
      <c r="I756" s="71">
        <f>SUM(I757:I763)</f>
        <v>4181</v>
      </c>
      <c r="J756" s="73">
        <f>+J757+J758+J759+J760+J761+J762+J763</f>
        <v>6293</v>
      </c>
      <c r="K756" s="74"/>
      <c r="L756" s="74">
        <f>SUM(L757:L763)</f>
        <v>6293</v>
      </c>
      <c r="M756" s="74">
        <f t="shared" ref="M756:O756" si="403">SUM(M757:M763)</f>
        <v>0</v>
      </c>
      <c r="N756" s="74">
        <f t="shared" si="403"/>
        <v>6293</v>
      </c>
      <c r="O756" s="74">
        <f t="shared" si="403"/>
        <v>1803</v>
      </c>
      <c r="P756" s="67">
        <f t="shared" ref="P756" si="404">SUM(P757:P763)</f>
        <v>4600</v>
      </c>
      <c r="Q756" s="87">
        <f t="shared" si="359"/>
        <v>-0.26902907993008102</v>
      </c>
      <c r="R756" s="204" t="s">
        <v>886</v>
      </c>
      <c r="S756" s="171"/>
      <c r="W756" s="56" t="s">
        <v>887</v>
      </c>
    </row>
    <row r="757" spans="1:23" ht="13.5" customHeight="1" x14ac:dyDescent="0.2">
      <c r="A757" s="89"/>
      <c r="B757" s="90"/>
      <c r="C757" s="154" t="s">
        <v>120</v>
      </c>
      <c r="D757" s="157">
        <v>4200</v>
      </c>
      <c r="E757" s="71"/>
      <c r="F757" s="74">
        <f t="shared" si="374"/>
        <v>4200</v>
      </c>
      <c r="G757" s="74"/>
      <c r="H757" s="153">
        <f t="shared" si="399"/>
        <v>4200</v>
      </c>
      <c r="I757" s="158">
        <v>3338</v>
      </c>
      <c r="J757" s="159">
        <v>3000</v>
      </c>
      <c r="K757" s="153"/>
      <c r="L757" s="153">
        <v>3000</v>
      </c>
      <c r="M757" s="153"/>
      <c r="N757" s="153">
        <f>+L757+M757</f>
        <v>3000</v>
      </c>
      <c r="O757" s="153">
        <v>1275</v>
      </c>
      <c r="P757" s="155">
        <v>3000</v>
      </c>
      <c r="Q757" s="87">
        <f t="shared" si="359"/>
        <v>0</v>
      </c>
      <c r="R757" s="204"/>
      <c r="S757" s="171"/>
    </row>
    <row r="758" spans="1:23" ht="13.5" customHeight="1" x14ac:dyDescent="0.2">
      <c r="A758" s="89"/>
      <c r="B758" s="90"/>
      <c r="C758" s="154" t="s">
        <v>121</v>
      </c>
      <c r="D758" s="157">
        <v>350</v>
      </c>
      <c r="E758" s="71"/>
      <c r="F758" s="74">
        <f t="shared" si="374"/>
        <v>350</v>
      </c>
      <c r="G758" s="74"/>
      <c r="H758" s="153">
        <f t="shared" si="399"/>
        <v>350</v>
      </c>
      <c r="I758" s="158">
        <v>36</v>
      </c>
      <c r="J758" s="159">
        <v>1000</v>
      </c>
      <c r="K758" s="153"/>
      <c r="L758" s="153">
        <v>1000</v>
      </c>
      <c r="M758" s="153"/>
      <c r="N758" s="153">
        <f t="shared" ref="N758:N763" si="405">+L758+M758</f>
        <v>1000</v>
      </c>
      <c r="O758" s="153">
        <v>376</v>
      </c>
      <c r="P758" s="155">
        <v>800</v>
      </c>
      <c r="Q758" s="87">
        <f t="shared" si="359"/>
        <v>-0.2</v>
      </c>
      <c r="R758" s="204"/>
      <c r="S758" s="171"/>
    </row>
    <row r="759" spans="1:23" ht="13.5" customHeight="1" x14ac:dyDescent="0.2">
      <c r="A759" s="89"/>
      <c r="B759" s="90"/>
      <c r="C759" s="154" t="s">
        <v>122</v>
      </c>
      <c r="D759" s="157">
        <v>50</v>
      </c>
      <c r="E759" s="71"/>
      <c r="F759" s="74">
        <f t="shared" si="374"/>
        <v>50</v>
      </c>
      <c r="G759" s="74"/>
      <c r="H759" s="153">
        <f t="shared" si="399"/>
        <v>50</v>
      </c>
      <c r="I759" s="158">
        <v>35</v>
      </c>
      <c r="J759" s="159">
        <v>40</v>
      </c>
      <c r="K759" s="153"/>
      <c r="L759" s="153">
        <v>40</v>
      </c>
      <c r="M759" s="153"/>
      <c r="N759" s="153">
        <f t="shared" si="405"/>
        <v>40</v>
      </c>
      <c r="O759" s="153">
        <v>39</v>
      </c>
      <c r="P759" s="155">
        <v>40</v>
      </c>
      <c r="Q759" s="87">
        <f t="shared" si="359"/>
        <v>0</v>
      </c>
      <c r="R759" s="204"/>
      <c r="S759" s="171"/>
    </row>
    <row r="760" spans="1:23" ht="13.5" customHeight="1" x14ac:dyDescent="0.2">
      <c r="A760" s="89"/>
      <c r="B760" s="90"/>
      <c r="C760" s="154" t="s">
        <v>123</v>
      </c>
      <c r="D760" s="157">
        <v>250</v>
      </c>
      <c r="E760" s="71"/>
      <c r="F760" s="74">
        <f t="shared" si="374"/>
        <v>250</v>
      </c>
      <c r="G760" s="74"/>
      <c r="H760" s="153">
        <f t="shared" si="399"/>
        <v>250</v>
      </c>
      <c r="I760" s="158">
        <v>275</v>
      </c>
      <c r="J760" s="159">
        <v>250</v>
      </c>
      <c r="K760" s="153"/>
      <c r="L760" s="153">
        <v>250</v>
      </c>
      <c r="M760" s="153"/>
      <c r="N760" s="153">
        <f t="shared" si="405"/>
        <v>250</v>
      </c>
      <c r="O760" s="153">
        <v>15</v>
      </c>
      <c r="P760" s="155">
        <v>760</v>
      </c>
      <c r="Q760" s="87">
        <f t="shared" ref="Q760:Q827" si="406">(P760-N760)/N760</f>
        <v>2.04</v>
      </c>
      <c r="R760" s="204"/>
      <c r="S760" s="171"/>
    </row>
    <row r="761" spans="1:23" ht="13.5" customHeight="1" x14ac:dyDescent="0.2">
      <c r="A761" s="89"/>
      <c r="B761" s="90"/>
      <c r="C761" s="154" t="s">
        <v>124</v>
      </c>
      <c r="D761" s="157">
        <v>150</v>
      </c>
      <c r="E761" s="71"/>
      <c r="F761" s="74">
        <f t="shared" si="374"/>
        <v>150</v>
      </c>
      <c r="G761" s="74"/>
      <c r="H761" s="153">
        <f t="shared" si="399"/>
        <v>150</v>
      </c>
      <c r="I761" s="158">
        <v>344</v>
      </c>
      <c r="J761" s="159">
        <v>350</v>
      </c>
      <c r="K761" s="153"/>
      <c r="L761" s="153">
        <v>350</v>
      </c>
      <c r="M761" s="153"/>
      <c r="N761" s="153">
        <f t="shared" si="405"/>
        <v>350</v>
      </c>
      <c r="O761" s="153">
        <v>89</v>
      </c>
      <c r="P761" s="155">
        <v>0</v>
      </c>
      <c r="Q761" s="87">
        <f t="shared" si="406"/>
        <v>-1</v>
      </c>
      <c r="R761" s="204"/>
      <c r="S761" s="171"/>
    </row>
    <row r="762" spans="1:23" ht="13.5" customHeight="1" x14ac:dyDescent="0.2">
      <c r="A762" s="89"/>
      <c r="B762" s="90"/>
      <c r="C762" s="154" t="s">
        <v>282</v>
      </c>
      <c r="D762" s="157">
        <v>1000</v>
      </c>
      <c r="E762" s="71"/>
      <c r="F762" s="74">
        <f t="shared" si="374"/>
        <v>1000</v>
      </c>
      <c r="G762" s="74"/>
      <c r="H762" s="153">
        <f t="shared" si="399"/>
        <v>1000</v>
      </c>
      <c r="I762" s="158"/>
      <c r="J762" s="159">
        <v>1500</v>
      </c>
      <c r="K762" s="153"/>
      <c r="L762" s="153">
        <v>1500</v>
      </c>
      <c r="M762" s="153"/>
      <c r="N762" s="153">
        <f t="shared" si="405"/>
        <v>1500</v>
      </c>
      <c r="O762" s="153">
        <v>9</v>
      </c>
      <c r="P762" s="155">
        <v>0</v>
      </c>
      <c r="Q762" s="87">
        <f t="shared" si="406"/>
        <v>-1</v>
      </c>
      <c r="R762" s="204"/>
      <c r="S762" s="171"/>
    </row>
    <row r="763" spans="1:23" ht="13.5" customHeight="1" x14ac:dyDescent="0.2">
      <c r="A763" s="89"/>
      <c r="B763" s="90"/>
      <c r="C763" s="154" t="s">
        <v>127</v>
      </c>
      <c r="D763" s="157">
        <v>140</v>
      </c>
      <c r="E763" s="71"/>
      <c r="F763" s="74">
        <f t="shared" si="374"/>
        <v>140</v>
      </c>
      <c r="G763" s="74"/>
      <c r="H763" s="153">
        <f t="shared" si="399"/>
        <v>140</v>
      </c>
      <c r="I763" s="158">
        <v>153</v>
      </c>
      <c r="J763" s="159">
        <v>153</v>
      </c>
      <c r="K763" s="153"/>
      <c r="L763" s="153">
        <v>153</v>
      </c>
      <c r="M763" s="153"/>
      <c r="N763" s="153">
        <f t="shared" si="405"/>
        <v>153</v>
      </c>
      <c r="O763" s="153"/>
      <c r="P763" s="155">
        <v>0</v>
      </c>
      <c r="Q763" s="87">
        <f t="shared" si="406"/>
        <v>-1</v>
      </c>
      <c r="R763" s="204"/>
      <c r="S763" s="171"/>
    </row>
    <row r="764" spans="1:23" ht="13.5" customHeight="1" x14ac:dyDescent="0.2">
      <c r="A764" s="89"/>
      <c r="B764" s="90">
        <v>5513</v>
      </c>
      <c r="C764" s="72" t="s">
        <v>292</v>
      </c>
      <c r="D764" s="102">
        <v>500</v>
      </c>
      <c r="E764" s="71"/>
      <c r="F764" s="74">
        <f t="shared" ref="F764:F799" si="407">+E764+D764</f>
        <v>500</v>
      </c>
      <c r="G764" s="74"/>
      <c r="H764" s="74">
        <f t="shared" si="399"/>
        <v>500</v>
      </c>
      <c r="I764" s="71">
        <v>0</v>
      </c>
      <c r="J764" s="73">
        <v>500</v>
      </c>
      <c r="K764" s="74"/>
      <c r="L764" s="74">
        <v>500</v>
      </c>
      <c r="M764" s="74"/>
      <c r="N764" s="74">
        <f t="shared" ref="N764:N769" si="408">+M764+L764</f>
        <v>500</v>
      </c>
      <c r="O764" s="74">
        <v>43</v>
      </c>
      <c r="P764" s="67">
        <v>200</v>
      </c>
      <c r="Q764" s="87">
        <f t="shared" si="406"/>
        <v>-0.6</v>
      </c>
      <c r="R764" s="204"/>
      <c r="S764" s="171"/>
    </row>
    <row r="765" spans="1:23" ht="12.95" customHeight="1" x14ac:dyDescent="0.2">
      <c r="A765" s="89"/>
      <c r="B765" s="90">
        <v>5514</v>
      </c>
      <c r="C765" s="72" t="s">
        <v>112</v>
      </c>
      <c r="D765" s="102">
        <v>1000</v>
      </c>
      <c r="E765" s="71"/>
      <c r="F765" s="74">
        <f t="shared" si="407"/>
        <v>1000</v>
      </c>
      <c r="G765" s="74"/>
      <c r="H765" s="74">
        <f t="shared" si="399"/>
        <v>1000</v>
      </c>
      <c r="I765" s="71">
        <v>220</v>
      </c>
      <c r="J765" s="73">
        <v>500</v>
      </c>
      <c r="K765" s="74"/>
      <c r="L765" s="74">
        <v>500</v>
      </c>
      <c r="M765" s="74"/>
      <c r="N765" s="74">
        <f t="shared" si="408"/>
        <v>500</v>
      </c>
      <c r="O765" s="74">
        <v>200</v>
      </c>
      <c r="P765" s="67">
        <v>300</v>
      </c>
      <c r="Q765" s="87">
        <f t="shared" si="406"/>
        <v>-0.4</v>
      </c>
      <c r="R765" s="203"/>
    </row>
    <row r="766" spans="1:23" ht="12.95" customHeight="1" x14ac:dyDescent="0.2">
      <c r="A766" s="89"/>
      <c r="B766" s="90">
        <v>5515</v>
      </c>
      <c r="C766" s="72" t="s">
        <v>133</v>
      </c>
      <c r="D766" s="102">
        <v>0</v>
      </c>
      <c r="E766" s="71"/>
      <c r="F766" s="74">
        <f t="shared" si="407"/>
        <v>0</v>
      </c>
      <c r="G766" s="74"/>
      <c r="H766" s="74">
        <f t="shared" si="399"/>
        <v>0</v>
      </c>
      <c r="I766" s="71">
        <v>290</v>
      </c>
      <c r="J766" s="73">
        <v>500</v>
      </c>
      <c r="K766" s="74"/>
      <c r="L766" s="74">
        <v>500</v>
      </c>
      <c r="M766" s="74"/>
      <c r="N766" s="74">
        <f t="shared" si="408"/>
        <v>500</v>
      </c>
      <c r="O766" s="74"/>
      <c r="P766" s="67">
        <v>200</v>
      </c>
      <c r="Q766" s="87">
        <f t="shared" si="406"/>
        <v>-0.6</v>
      </c>
      <c r="R766" s="203"/>
    </row>
    <row r="767" spans="1:23" ht="12.95" customHeight="1" x14ac:dyDescent="0.2">
      <c r="A767" s="89"/>
      <c r="B767" s="90" t="s">
        <v>134</v>
      </c>
      <c r="C767" s="72" t="s">
        <v>135</v>
      </c>
      <c r="D767" s="102"/>
      <c r="E767" s="71"/>
      <c r="F767" s="74"/>
      <c r="G767" s="74"/>
      <c r="H767" s="74"/>
      <c r="I767" s="71"/>
      <c r="J767" s="73"/>
      <c r="K767" s="74"/>
      <c r="L767" s="74"/>
      <c r="M767" s="74"/>
      <c r="N767" s="74"/>
      <c r="O767" s="74"/>
      <c r="P767" s="67">
        <v>500</v>
      </c>
      <c r="Q767" s="87">
        <v>1</v>
      </c>
      <c r="R767" s="203"/>
    </row>
    <row r="768" spans="1:23" ht="13.35" customHeight="1" x14ac:dyDescent="0.2">
      <c r="A768" s="89"/>
      <c r="B768" s="90">
        <v>5522</v>
      </c>
      <c r="C768" s="72" t="s">
        <v>137</v>
      </c>
      <c r="D768" s="102">
        <v>70</v>
      </c>
      <c r="E768" s="71"/>
      <c r="F768" s="74">
        <f t="shared" si="407"/>
        <v>70</v>
      </c>
      <c r="G768" s="74"/>
      <c r="H768" s="74">
        <f t="shared" si="399"/>
        <v>70</v>
      </c>
      <c r="I768" s="71">
        <v>232</v>
      </c>
      <c r="J768" s="73">
        <v>130</v>
      </c>
      <c r="K768" s="74"/>
      <c r="L768" s="74">
        <v>130</v>
      </c>
      <c r="M768" s="74"/>
      <c r="N768" s="74">
        <f t="shared" si="408"/>
        <v>130</v>
      </c>
      <c r="O768" s="74">
        <v>67</v>
      </c>
      <c r="P768" s="67">
        <v>100</v>
      </c>
      <c r="Q768" s="87">
        <f t="shared" si="406"/>
        <v>-0.23076923076923078</v>
      </c>
      <c r="R768" s="203"/>
    </row>
    <row r="769" spans="1:19" ht="13.5" customHeight="1" x14ac:dyDescent="0.2">
      <c r="A769" s="89"/>
      <c r="B769" s="90">
        <v>5523</v>
      </c>
      <c r="C769" s="72" t="s">
        <v>280</v>
      </c>
      <c r="D769" s="102">
        <v>3500</v>
      </c>
      <c r="E769" s="71"/>
      <c r="F769" s="74">
        <f t="shared" si="407"/>
        <v>3500</v>
      </c>
      <c r="G769" s="74"/>
      <c r="H769" s="74">
        <f t="shared" si="399"/>
        <v>3500</v>
      </c>
      <c r="I769" s="71">
        <v>3103</v>
      </c>
      <c r="J769" s="73">
        <v>3850</v>
      </c>
      <c r="K769" s="74"/>
      <c r="L769" s="74">
        <v>3850</v>
      </c>
      <c r="M769" s="74"/>
      <c r="N769" s="74">
        <f t="shared" si="408"/>
        <v>3850</v>
      </c>
      <c r="O769" s="74">
        <v>2587</v>
      </c>
      <c r="P769" s="67">
        <v>3900</v>
      </c>
      <c r="Q769" s="87">
        <f t="shared" si="406"/>
        <v>1.2987012987012988E-2</v>
      </c>
      <c r="R769" s="203"/>
    </row>
    <row r="770" spans="1:19" ht="13.5" customHeight="1" x14ac:dyDescent="0.2">
      <c r="A770" s="89"/>
      <c r="B770" s="90">
        <v>5525</v>
      </c>
      <c r="C770" s="72" t="s">
        <v>139</v>
      </c>
      <c r="D770" s="102">
        <v>500</v>
      </c>
      <c r="E770" s="71"/>
      <c r="F770" s="74">
        <f t="shared" si="407"/>
        <v>500</v>
      </c>
      <c r="G770" s="74"/>
      <c r="H770" s="74">
        <f t="shared" si="399"/>
        <v>500</v>
      </c>
      <c r="I770" s="71">
        <v>113</v>
      </c>
      <c r="J770" s="73">
        <v>1000</v>
      </c>
      <c r="K770" s="74"/>
      <c r="L770" s="74">
        <f>+K770+J770</f>
        <v>1000</v>
      </c>
      <c r="M770" s="74"/>
      <c r="N770" s="74">
        <f t="shared" ref="N770" si="409">+M770+L770</f>
        <v>1000</v>
      </c>
      <c r="O770" s="74">
        <v>329</v>
      </c>
      <c r="P770" s="67">
        <v>800</v>
      </c>
      <c r="Q770" s="87">
        <f t="shared" si="406"/>
        <v>-0.2</v>
      </c>
      <c r="R770" s="203"/>
    </row>
    <row r="771" spans="1:19" ht="13.5" customHeight="1" x14ac:dyDescent="0.2">
      <c r="A771" s="146" t="s">
        <v>682</v>
      </c>
      <c r="B771" s="147"/>
      <c r="C771" s="148" t="s">
        <v>296</v>
      </c>
      <c r="D771" s="149">
        <v>32950</v>
      </c>
      <c r="E771" s="150"/>
      <c r="F771" s="137">
        <f t="shared" si="407"/>
        <v>32950</v>
      </c>
      <c r="G771" s="137">
        <v>0</v>
      </c>
      <c r="H771" s="137">
        <f>+H772+H773</f>
        <v>32950</v>
      </c>
      <c r="I771" s="151">
        <f>+I772+I773</f>
        <v>28495</v>
      </c>
      <c r="J771" s="152">
        <f>+J772+J773</f>
        <v>38630</v>
      </c>
      <c r="K771" s="152">
        <f t="shared" ref="K771:L771" si="410">+K772+K773</f>
        <v>0</v>
      </c>
      <c r="L771" s="152">
        <f t="shared" si="410"/>
        <v>38130</v>
      </c>
      <c r="M771" s="152">
        <f t="shared" ref="M771:N771" si="411">+M772+M773</f>
        <v>0</v>
      </c>
      <c r="N771" s="152">
        <f t="shared" si="411"/>
        <v>38130</v>
      </c>
      <c r="O771" s="152">
        <f t="shared" ref="O771:P771" si="412">+O772+O773</f>
        <v>29160</v>
      </c>
      <c r="P771" s="152">
        <f t="shared" si="412"/>
        <v>42151</v>
      </c>
      <c r="Q771" s="87">
        <f t="shared" si="406"/>
        <v>0.1054550222921584</v>
      </c>
      <c r="R771" s="203" t="s">
        <v>890</v>
      </c>
    </row>
    <row r="772" spans="1:19" ht="13.5" customHeight="1" x14ac:dyDescent="0.2">
      <c r="A772" s="180"/>
      <c r="B772" s="177" t="s">
        <v>101</v>
      </c>
      <c r="C772" s="178" t="s">
        <v>102</v>
      </c>
      <c r="D772" s="43">
        <v>25210</v>
      </c>
      <c r="E772" s="71"/>
      <c r="F772" s="98">
        <f t="shared" si="407"/>
        <v>25210</v>
      </c>
      <c r="G772" s="98"/>
      <c r="H772" s="98">
        <f>+G772+F772</f>
        <v>25210</v>
      </c>
      <c r="I772" s="97">
        <v>20848</v>
      </c>
      <c r="J772" s="99">
        <v>27730</v>
      </c>
      <c r="K772" s="98"/>
      <c r="L772" s="182">
        <f>+K772+J772</f>
        <v>27730</v>
      </c>
      <c r="M772" s="182"/>
      <c r="N772" s="182">
        <f t="shared" ref="N772" si="413">+M772+L772</f>
        <v>27730</v>
      </c>
      <c r="O772" s="182">
        <v>22395</v>
      </c>
      <c r="P772" s="78">
        <v>31951</v>
      </c>
      <c r="Q772" s="87">
        <f t="shared" si="406"/>
        <v>0.15221781464118284</v>
      </c>
      <c r="R772" s="203" t="s">
        <v>891</v>
      </c>
    </row>
    <row r="773" spans="1:19" ht="13.5" customHeight="1" x14ac:dyDescent="0.2">
      <c r="A773" s="89"/>
      <c r="B773" s="95" t="s">
        <v>103</v>
      </c>
      <c r="C773" s="96" t="s">
        <v>104</v>
      </c>
      <c r="D773" s="43">
        <v>7740</v>
      </c>
      <c r="E773" s="71"/>
      <c r="F773" s="98">
        <f t="shared" si="407"/>
        <v>7740</v>
      </c>
      <c r="G773" s="98"/>
      <c r="H773" s="98">
        <f t="shared" ref="H773:H784" si="414">+G773+F773</f>
        <v>7740</v>
      </c>
      <c r="I773" s="97">
        <f>SUM(I774:I784)</f>
        <v>7647</v>
      </c>
      <c r="J773" s="99">
        <f>SUM(J774:J784)</f>
        <v>10900</v>
      </c>
      <c r="K773" s="99">
        <f>SUM(K774:K784)</f>
        <v>0</v>
      </c>
      <c r="L773" s="170">
        <f>+L774+L775+L776+L777+L780+L781+L782+L783+L784</f>
        <v>10400</v>
      </c>
      <c r="M773" s="170">
        <f t="shared" ref="M773:N773" si="415">+M774+M775+M776+M777+M780+M781+M782+M783+M784</f>
        <v>0</v>
      </c>
      <c r="N773" s="170">
        <f t="shared" si="415"/>
        <v>10400</v>
      </c>
      <c r="O773" s="170">
        <f t="shared" ref="O773" si="416">+O774+O775+O776+O777+O780+O781+O782+O783+O784</f>
        <v>6765</v>
      </c>
      <c r="P773" s="170">
        <f t="shared" ref="P773" si="417">+P774+P775+P776+P777+P780+P781+P782+P783+P784</f>
        <v>10200</v>
      </c>
      <c r="Q773" s="87">
        <f t="shared" si="406"/>
        <v>-1.9230769230769232E-2</v>
      </c>
      <c r="R773" s="203"/>
    </row>
    <row r="774" spans="1:19" ht="13.5" customHeight="1" x14ac:dyDescent="0.2">
      <c r="A774" s="89"/>
      <c r="B774" s="90">
        <v>5500</v>
      </c>
      <c r="C774" s="72" t="s">
        <v>180</v>
      </c>
      <c r="D774" s="102">
        <v>1650</v>
      </c>
      <c r="E774" s="71"/>
      <c r="F774" s="74">
        <f t="shared" si="407"/>
        <v>1650</v>
      </c>
      <c r="G774" s="74"/>
      <c r="H774" s="74">
        <f t="shared" si="414"/>
        <v>1650</v>
      </c>
      <c r="I774" s="71">
        <v>1691</v>
      </c>
      <c r="J774" s="73">
        <v>2000</v>
      </c>
      <c r="K774" s="74"/>
      <c r="L774" s="74">
        <v>2000</v>
      </c>
      <c r="M774" s="74"/>
      <c r="N774" s="74">
        <f>+L774+M774</f>
        <v>2000</v>
      </c>
      <c r="O774" s="74">
        <v>1558</v>
      </c>
      <c r="P774" s="67">
        <f>+M774+N774</f>
        <v>2000</v>
      </c>
      <c r="Q774" s="87">
        <f t="shared" si="406"/>
        <v>0</v>
      </c>
      <c r="R774" s="204"/>
      <c r="S774" s="171"/>
    </row>
    <row r="775" spans="1:19" ht="13.5" customHeight="1" x14ac:dyDescent="0.2">
      <c r="A775" s="89"/>
      <c r="B775" s="90">
        <v>5503</v>
      </c>
      <c r="C775" s="72" t="s">
        <v>107</v>
      </c>
      <c r="D775" s="102">
        <v>0</v>
      </c>
      <c r="E775" s="71"/>
      <c r="F775" s="74">
        <f t="shared" si="407"/>
        <v>0</v>
      </c>
      <c r="G775" s="74"/>
      <c r="H775" s="74">
        <f t="shared" si="414"/>
        <v>0</v>
      </c>
      <c r="I775" s="71"/>
      <c r="J775" s="73">
        <v>0</v>
      </c>
      <c r="K775" s="74"/>
      <c r="L775" s="74">
        <v>0</v>
      </c>
      <c r="M775" s="74"/>
      <c r="N775" s="74">
        <f t="shared" ref="N775:N776" si="418">+L775+M775</f>
        <v>0</v>
      </c>
      <c r="O775" s="74"/>
      <c r="P775" s="67">
        <v>200</v>
      </c>
      <c r="Q775" s="87">
        <v>1</v>
      </c>
      <c r="R775" s="203"/>
    </row>
    <row r="776" spans="1:19" ht="13.5" customHeight="1" x14ac:dyDescent="0.2">
      <c r="A776" s="89"/>
      <c r="B776" s="90">
        <v>5504</v>
      </c>
      <c r="C776" s="72" t="s">
        <v>118</v>
      </c>
      <c r="D776" s="102">
        <v>300</v>
      </c>
      <c r="E776" s="71"/>
      <c r="F776" s="74">
        <f t="shared" si="407"/>
        <v>300</v>
      </c>
      <c r="G776" s="74"/>
      <c r="H776" s="74">
        <f t="shared" si="414"/>
        <v>300</v>
      </c>
      <c r="I776" s="71">
        <v>39</v>
      </c>
      <c r="J776" s="73">
        <v>300</v>
      </c>
      <c r="K776" s="74"/>
      <c r="L776" s="74">
        <v>300</v>
      </c>
      <c r="M776" s="74"/>
      <c r="N776" s="74">
        <f t="shared" si="418"/>
        <v>300</v>
      </c>
      <c r="O776" s="74">
        <v>287</v>
      </c>
      <c r="P776" s="67">
        <v>600</v>
      </c>
      <c r="Q776" s="87">
        <f t="shared" si="406"/>
        <v>1</v>
      </c>
      <c r="R776" s="203" t="s">
        <v>864</v>
      </c>
    </row>
    <row r="777" spans="1:19" ht="13.5" customHeight="1" x14ac:dyDescent="0.2">
      <c r="A777" s="89"/>
      <c r="B777" s="90">
        <v>5511</v>
      </c>
      <c r="C777" s="72" t="s">
        <v>222</v>
      </c>
      <c r="D777" s="102">
        <v>100</v>
      </c>
      <c r="E777" s="71"/>
      <c r="F777" s="74">
        <f t="shared" si="407"/>
        <v>100</v>
      </c>
      <c r="G777" s="74"/>
      <c r="H777" s="74">
        <f t="shared" si="414"/>
        <v>100</v>
      </c>
      <c r="I777" s="71"/>
      <c r="J777" s="73">
        <v>400</v>
      </c>
      <c r="K777" s="74"/>
      <c r="L777" s="74">
        <f>SUM(L778:L779)</f>
        <v>400</v>
      </c>
      <c r="M777" s="74">
        <f t="shared" ref="M777:O777" si="419">SUM(M778:M779)</f>
        <v>0</v>
      </c>
      <c r="N777" s="74">
        <f t="shared" si="419"/>
        <v>400</v>
      </c>
      <c r="O777" s="74">
        <f t="shared" si="419"/>
        <v>63</v>
      </c>
      <c r="P777" s="67">
        <f t="shared" ref="P777" si="420">SUM(P778:P779)</f>
        <v>50</v>
      </c>
      <c r="Q777" s="87">
        <f t="shared" si="406"/>
        <v>-0.875</v>
      </c>
      <c r="R777" s="204" t="s">
        <v>889</v>
      </c>
      <c r="S777" s="171"/>
    </row>
    <row r="778" spans="1:19" ht="13.5" customHeight="1" x14ac:dyDescent="0.2">
      <c r="A778" s="89"/>
      <c r="B778" s="90"/>
      <c r="C778" s="154" t="s">
        <v>123</v>
      </c>
      <c r="D778" s="157">
        <v>100</v>
      </c>
      <c r="E778" s="71"/>
      <c r="F778" s="74">
        <f t="shared" si="407"/>
        <v>100</v>
      </c>
      <c r="G778" s="74"/>
      <c r="H778" s="153">
        <f t="shared" si="414"/>
        <v>100</v>
      </c>
      <c r="I778" s="158">
        <v>0</v>
      </c>
      <c r="J778" s="159">
        <v>200</v>
      </c>
      <c r="K778" s="153"/>
      <c r="L778" s="153">
        <v>0</v>
      </c>
      <c r="M778" s="153"/>
      <c r="N778" s="153">
        <f t="shared" ref="N778:N779" si="421">+L778+M778</f>
        <v>0</v>
      </c>
      <c r="O778" s="153">
        <v>63</v>
      </c>
      <c r="P778" s="155">
        <v>50</v>
      </c>
      <c r="Q778" s="87">
        <v>1</v>
      </c>
      <c r="R778" s="204"/>
      <c r="S778" s="171"/>
    </row>
    <row r="779" spans="1:19" ht="13.5" customHeight="1" x14ac:dyDescent="0.2">
      <c r="A779" s="89"/>
      <c r="B779" s="90"/>
      <c r="C779" s="154" t="s">
        <v>128</v>
      </c>
      <c r="D779" s="157">
        <v>300</v>
      </c>
      <c r="E779" s="71"/>
      <c r="F779" s="74">
        <f t="shared" si="407"/>
        <v>300</v>
      </c>
      <c r="G779" s="74"/>
      <c r="H779" s="153">
        <f t="shared" si="414"/>
        <v>300</v>
      </c>
      <c r="I779" s="158">
        <v>386</v>
      </c>
      <c r="J779" s="159">
        <v>300</v>
      </c>
      <c r="K779" s="153"/>
      <c r="L779" s="153">
        <v>400</v>
      </c>
      <c r="M779" s="153"/>
      <c r="N779" s="153">
        <f t="shared" si="421"/>
        <v>400</v>
      </c>
      <c r="O779" s="153"/>
      <c r="P779" s="155">
        <v>0</v>
      </c>
      <c r="Q779" s="87">
        <f t="shared" si="406"/>
        <v>-1</v>
      </c>
      <c r="R779" s="204"/>
      <c r="S779" s="171"/>
    </row>
    <row r="780" spans="1:19" ht="13.5" customHeight="1" x14ac:dyDescent="0.2">
      <c r="A780" s="89"/>
      <c r="B780" s="90">
        <v>5514</v>
      </c>
      <c r="C780" s="72" t="s">
        <v>297</v>
      </c>
      <c r="D780" s="102">
        <v>1300</v>
      </c>
      <c r="E780" s="71"/>
      <c r="F780" s="74">
        <f t="shared" si="407"/>
        <v>1300</v>
      </c>
      <c r="G780" s="74"/>
      <c r="H780" s="74">
        <f t="shared" si="414"/>
        <v>1300</v>
      </c>
      <c r="I780" s="71">
        <v>1378</v>
      </c>
      <c r="J780" s="73">
        <v>2300</v>
      </c>
      <c r="K780" s="74"/>
      <c r="L780" s="74">
        <v>2300</v>
      </c>
      <c r="M780" s="74"/>
      <c r="N780" s="74">
        <f>+L780+M780</f>
        <v>2300</v>
      </c>
      <c r="O780" s="74">
        <v>1296</v>
      </c>
      <c r="P780" s="67">
        <v>1800</v>
      </c>
      <c r="Q780" s="87">
        <f t="shared" si="406"/>
        <v>-0.21739130434782608</v>
      </c>
      <c r="R780" s="203"/>
    </row>
    <row r="781" spans="1:19" ht="13.5" customHeight="1" x14ac:dyDescent="0.2">
      <c r="A781" s="89"/>
      <c r="B781" s="90">
        <v>5515</v>
      </c>
      <c r="C781" s="72" t="s">
        <v>298</v>
      </c>
      <c r="D781" s="102">
        <v>200</v>
      </c>
      <c r="E781" s="71"/>
      <c r="F781" s="74">
        <f t="shared" si="407"/>
        <v>200</v>
      </c>
      <c r="G781" s="74"/>
      <c r="H781" s="74">
        <f t="shared" si="414"/>
        <v>200</v>
      </c>
      <c r="I781" s="71">
        <v>445</v>
      </c>
      <c r="J781" s="73">
        <v>300</v>
      </c>
      <c r="K781" s="74"/>
      <c r="L781" s="74">
        <v>300</v>
      </c>
      <c r="M781" s="74"/>
      <c r="N781" s="74">
        <f t="shared" ref="N781:N784" si="422">+L781+M781</f>
        <v>300</v>
      </c>
      <c r="O781" s="74"/>
      <c r="P781" s="67">
        <v>0</v>
      </c>
      <c r="Q781" s="87">
        <f t="shared" si="406"/>
        <v>-1</v>
      </c>
      <c r="R781" s="203"/>
    </row>
    <row r="782" spans="1:19" ht="13.5" customHeight="1" x14ac:dyDescent="0.2">
      <c r="A782" s="89"/>
      <c r="B782" s="90">
        <v>5522</v>
      </c>
      <c r="C782" s="72" t="s">
        <v>137</v>
      </c>
      <c r="D782" s="102">
        <v>290</v>
      </c>
      <c r="E782" s="71"/>
      <c r="F782" s="74">
        <f t="shared" si="407"/>
        <v>290</v>
      </c>
      <c r="G782" s="74"/>
      <c r="H782" s="74">
        <f t="shared" si="414"/>
        <v>290</v>
      </c>
      <c r="I782" s="71">
        <v>206</v>
      </c>
      <c r="J782" s="73">
        <v>100</v>
      </c>
      <c r="K782" s="74"/>
      <c r="L782" s="74">
        <v>100</v>
      </c>
      <c r="M782" s="74"/>
      <c r="N782" s="74">
        <f t="shared" si="422"/>
        <v>100</v>
      </c>
      <c r="O782" s="74"/>
      <c r="P782" s="67">
        <v>250</v>
      </c>
      <c r="Q782" s="87">
        <f t="shared" si="406"/>
        <v>1.5</v>
      </c>
      <c r="R782" s="203"/>
    </row>
    <row r="783" spans="1:19" ht="13.5" customHeight="1" x14ac:dyDescent="0.2">
      <c r="A783" s="89"/>
      <c r="B783" s="90">
        <v>5523</v>
      </c>
      <c r="C783" s="72" t="s">
        <v>280</v>
      </c>
      <c r="D783" s="102">
        <v>3500</v>
      </c>
      <c r="E783" s="71"/>
      <c r="F783" s="74">
        <f t="shared" si="407"/>
        <v>3500</v>
      </c>
      <c r="G783" s="74"/>
      <c r="H783" s="74">
        <f t="shared" si="414"/>
        <v>3500</v>
      </c>
      <c r="I783" s="71">
        <v>3292</v>
      </c>
      <c r="J783" s="73">
        <v>4000</v>
      </c>
      <c r="K783" s="74"/>
      <c r="L783" s="74">
        <v>4000</v>
      </c>
      <c r="M783" s="74"/>
      <c r="N783" s="74">
        <f t="shared" si="422"/>
        <v>4000</v>
      </c>
      <c r="O783" s="74">
        <v>3006</v>
      </c>
      <c r="P783" s="67">
        <v>4500</v>
      </c>
      <c r="Q783" s="87">
        <f t="shared" si="406"/>
        <v>0.125</v>
      </c>
      <c r="R783" s="203"/>
    </row>
    <row r="784" spans="1:19" ht="13.5" customHeight="1" x14ac:dyDescent="0.2">
      <c r="A784" s="89"/>
      <c r="B784" s="90">
        <v>5525</v>
      </c>
      <c r="C784" s="72" t="s">
        <v>299</v>
      </c>
      <c r="D784" s="102">
        <v>400</v>
      </c>
      <c r="E784" s="71"/>
      <c r="F784" s="74">
        <f t="shared" si="407"/>
        <v>400</v>
      </c>
      <c r="G784" s="74"/>
      <c r="H784" s="74">
        <f t="shared" si="414"/>
        <v>400</v>
      </c>
      <c r="I784" s="71">
        <v>210</v>
      </c>
      <c r="J784" s="73">
        <v>1000</v>
      </c>
      <c r="K784" s="74"/>
      <c r="L784" s="74">
        <f>+K784+J784</f>
        <v>1000</v>
      </c>
      <c r="M784" s="74"/>
      <c r="N784" s="74">
        <f t="shared" si="422"/>
        <v>1000</v>
      </c>
      <c r="O784" s="74">
        <v>555</v>
      </c>
      <c r="P784" s="67">
        <v>800</v>
      </c>
      <c r="Q784" s="87">
        <f t="shared" si="406"/>
        <v>-0.2</v>
      </c>
      <c r="R784" s="203"/>
    </row>
    <row r="785" spans="1:21" ht="13.5" customHeight="1" x14ac:dyDescent="0.2">
      <c r="A785" s="146" t="s">
        <v>683</v>
      </c>
      <c r="B785" s="147"/>
      <c r="C785" s="207" t="s">
        <v>300</v>
      </c>
      <c r="D785" s="149">
        <v>19295</v>
      </c>
      <c r="E785" s="150"/>
      <c r="F785" s="137">
        <f t="shared" si="407"/>
        <v>19295</v>
      </c>
      <c r="G785" s="137">
        <v>0</v>
      </c>
      <c r="H785" s="137">
        <f>+H786+H787</f>
        <v>19295</v>
      </c>
      <c r="I785" s="151">
        <f>+I786+I787</f>
        <v>13659</v>
      </c>
      <c r="J785" s="152">
        <f>+J786+J787</f>
        <v>20343</v>
      </c>
      <c r="K785" s="152">
        <f t="shared" ref="K785:L785" si="423">+K786+K787</f>
        <v>0</v>
      </c>
      <c r="L785" s="152">
        <f t="shared" si="423"/>
        <v>20343</v>
      </c>
      <c r="M785" s="152">
        <f t="shared" ref="M785:N785" si="424">+M786+M787</f>
        <v>0</v>
      </c>
      <c r="N785" s="152">
        <f t="shared" si="424"/>
        <v>20343</v>
      </c>
      <c r="O785" s="152">
        <f t="shared" ref="O785:P785" si="425">+O786+O787</f>
        <v>16145</v>
      </c>
      <c r="P785" s="152">
        <f t="shared" si="425"/>
        <v>22922</v>
      </c>
      <c r="Q785" s="87">
        <f t="shared" si="406"/>
        <v>0.12677579511379836</v>
      </c>
      <c r="R785" s="203" t="s">
        <v>895</v>
      </c>
    </row>
    <row r="786" spans="1:21" ht="13.5" customHeight="1" x14ac:dyDescent="0.2">
      <c r="A786" s="89"/>
      <c r="B786" s="95" t="s">
        <v>101</v>
      </c>
      <c r="C786" s="96" t="s">
        <v>102</v>
      </c>
      <c r="D786" s="43">
        <v>11725</v>
      </c>
      <c r="E786" s="97"/>
      <c r="F786" s="98">
        <f t="shared" si="407"/>
        <v>11725</v>
      </c>
      <c r="G786" s="98"/>
      <c r="H786" s="98">
        <f>+G786+F786</f>
        <v>11725</v>
      </c>
      <c r="I786" s="97">
        <v>9772</v>
      </c>
      <c r="J786" s="99">
        <v>12893</v>
      </c>
      <c r="K786" s="98"/>
      <c r="L786" s="182">
        <v>12893</v>
      </c>
      <c r="M786" s="182"/>
      <c r="N786" s="182">
        <f>+L786+M786</f>
        <v>12893</v>
      </c>
      <c r="O786" s="182">
        <v>10797</v>
      </c>
      <c r="P786" s="78">
        <v>14772</v>
      </c>
      <c r="Q786" s="87">
        <f t="shared" si="406"/>
        <v>0.1457379973629101</v>
      </c>
      <c r="R786" s="203" t="s">
        <v>892</v>
      </c>
    </row>
    <row r="787" spans="1:21" ht="13.5" customHeight="1" x14ac:dyDescent="0.2">
      <c r="A787" s="89"/>
      <c r="B787" s="95" t="s">
        <v>103</v>
      </c>
      <c r="C787" s="96" t="s">
        <v>104</v>
      </c>
      <c r="D787" s="43">
        <v>7570</v>
      </c>
      <c r="E787" s="97"/>
      <c r="F787" s="98">
        <f t="shared" si="407"/>
        <v>7570</v>
      </c>
      <c r="G787" s="98"/>
      <c r="H787" s="98">
        <f t="shared" ref="H787:H801" si="426">+G787+F787</f>
        <v>7570</v>
      </c>
      <c r="I787" s="97">
        <f>+I788+I790+I791+I796+I797+I798+I799+I800+I801</f>
        <v>3887</v>
      </c>
      <c r="J787" s="99">
        <f>+J788+J790+J791+J796+J797+J798+J799+J800+J801</f>
        <v>7450</v>
      </c>
      <c r="K787" s="98"/>
      <c r="L787" s="170">
        <f>+L788+L790+L791+L796+L797+L798+L799+L800+L801</f>
        <v>7450</v>
      </c>
      <c r="M787" s="170">
        <f t="shared" ref="M787" si="427">+M788+M790+M791+M796+M797+M798+M799+M800+M801</f>
        <v>0</v>
      </c>
      <c r="N787" s="170">
        <f>+N788+N790+N791+N796+N797+N798+N799+N800+N801</f>
        <v>7450</v>
      </c>
      <c r="O787" s="170">
        <f>+O788+O790+O791+O796+O797+O798+O799+O800+O801</f>
        <v>5348</v>
      </c>
      <c r="P787" s="170">
        <f>+P788+P790+P791+P796+P797+P798+P799+P800+P801+P789</f>
        <v>8150</v>
      </c>
      <c r="Q787" s="87">
        <f t="shared" si="406"/>
        <v>9.3959731543624164E-2</v>
      </c>
      <c r="R787" s="203"/>
    </row>
    <row r="788" spans="1:21" ht="13.5" customHeight="1" x14ac:dyDescent="0.2">
      <c r="A788" s="89"/>
      <c r="B788" s="90">
        <v>5500</v>
      </c>
      <c r="C788" s="72" t="s">
        <v>180</v>
      </c>
      <c r="D788" s="43">
        <v>1500</v>
      </c>
      <c r="E788" s="71"/>
      <c r="F788" s="74">
        <f t="shared" si="407"/>
        <v>1500</v>
      </c>
      <c r="G788" s="74"/>
      <c r="H788" s="74">
        <f t="shared" si="426"/>
        <v>1500</v>
      </c>
      <c r="I788" s="71">
        <v>1189</v>
      </c>
      <c r="J788" s="73">
        <v>1450</v>
      </c>
      <c r="K788" s="74"/>
      <c r="L788" s="74">
        <v>1450</v>
      </c>
      <c r="M788" s="74"/>
      <c r="N788" s="74">
        <f>+L788+M788</f>
        <v>1450</v>
      </c>
      <c r="O788" s="74">
        <v>1270</v>
      </c>
      <c r="P788" s="67">
        <v>1300</v>
      </c>
      <c r="Q788" s="87">
        <f t="shared" si="406"/>
        <v>-0.10344827586206896</v>
      </c>
      <c r="R788" s="203"/>
    </row>
    <row r="789" spans="1:21" ht="13.5" customHeight="1" x14ac:dyDescent="0.2">
      <c r="A789" s="89"/>
      <c r="B789" s="90">
        <v>5503</v>
      </c>
      <c r="C789" s="72" t="s">
        <v>107</v>
      </c>
      <c r="D789" s="43"/>
      <c r="E789" s="71"/>
      <c r="F789" s="74"/>
      <c r="G789" s="74"/>
      <c r="H789" s="74"/>
      <c r="I789" s="71"/>
      <c r="J789" s="73"/>
      <c r="K789" s="74"/>
      <c r="L789" s="74"/>
      <c r="M789" s="74"/>
      <c r="N789" s="74"/>
      <c r="O789" s="74"/>
      <c r="P789" s="67">
        <v>300</v>
      </c>
      <c r="Q789" s="87">
        <v>1</v>
      </c>
      <c r="R789" s="203"/>
    </row>
    <row r="790" spans="1:21" ht="13.5" customHeight="1" x14ac:dyDescent="0.2">
      <c r="A790" s="89"/>
      <c r="B790" s="90">
        <v>5504</v>
      </c>
      <c r="C790" s="72" t="s">
        <v>118</v>
      </c>
      <c r="D790" s="102">
        <v>50</v>
      </c>
      <c r="E790" s="71"/>
      <c r="F790" s="74">
        <f t="shared" si="407"/>
        <v>50</v>
      </c>
      <c r="G790" s="74"/>
      <c r="H790" s="74">
        <f t="shared" si="426"/>
        <v>50</v>
      </c>
      <c r="I790" s="71">
        <v>7</v>
      </c>
      <c r="J790" s="73">
        <v>50</v>
      </c>
      <c r="K790" s="74"/>
      <c r="L790" s="74">
        <v>50</v>
      </c>
      <c r="M790" s="74"/>
      <c r="N790" s="74">
        <f>+L790+M790</f>
        <v>50</v>
      </c>
      <c r="O790" s="74"/>
      <c r="P790" s="67">
        <v>300</v>
      </c>
      <c r="Q790" s="87">
        <f t="shared" si="406"/>
        <v>5</v>
      </c>
      <c r="R790" s="203" t="s">
        <v>864</v>
      </c>
    </row>
    <row r="791" spans="1:21" ht="13.5" customHeight="1" x14ac:dyDescent="0.2">
      <c r="A791" s="89"/>
      <c r="B791" s="90">
        <v>5511</v>
      </c>
      <c r="C791" s="72" t="s">
        <v>222</v>
      </c>
      <c r="D791" s="102">
        <v>2450</v>
      </c>
      <c r="E791" s="71"/>
      <c r="F791" s="74">
        <f t="shared" si="407"/>
        <v>2450</v>
      </c>
      <c r="G791" s="74"/>
      <c r="H791" s="74">
        <f t="shared" si="426"/>
        <v>2450</v>
      </c>
      <c r="I791" s="71">
        <f>SUM(I792:I795)</f>
        <v>135</v>
      </c>
      <c r="J791" s="73">
        <f>SUM(J792:J795)</f>
        <v>2450</v>
      </c>
      <c r="K791" s="74"/>
      <c r="L791" s="74">
        <f>SUM(L792:L795)</f>
        <v>2450</v>
      </c>
      <c r="M791" s="74">
        <f t="shared" ref="M791:O791" si="428">SUM(M792:M795)</f>
        <v>0</v>
      </c>
      <c r="N791" s="74">
        <f t="shared" si="428"/>
        <v>2450</v>
      </c>
      <c r="O791" s="74">
        <f t="shared" si="428"/>
        <v>1509</v>
      </c>
      <c r="P791" s="67">
        <f t="shared" ref="P791" si="429">SUM(P792:P795)</f>
        <v>2400</v>
      </c>
      <c r="Q791" s="87">
        <f t="shared" si="406"/>
        <v>-2.0408163265306121E-2</v>
      </c>
      <c r="R791" s="204"/>
      <c r="S791" s="171"/>
    </row>
    <row r="792" spans="1:21" ht="13.5" customHeight="1" x14ac:dyDescent="0.2">
      <c r="A792" s="89"/>
      <c r="B792" s="90"/>
      <c r="C792" s="154" t="s">
        <v>120</v>
      </c>
      <c r="D792" s="157">
        <v>500</v>
      </c>
      <c r="E792" s="158"/>
      <c r="F792" s="153">
        <f t="shared" si="407"/>
        <v>500</v>
      </c>
      <c r="G792" s="153"/>
      <c r="H792" s="153">
        <f t="shared" si="426"/>
        <v>500</v>
      </c>
      <c r="I792" s="158"/>
      <c r="J792" s="159">
        <v>500</v>
      </c>
      <c r="K792" s="153"/>
      <c r="L792" s="153">
        <v>500</v>
      </c>
      <c r="M792" s="153"/>
      <c r="N792" s="153">
        <f>+L792+M792</f>
        <v>500</v>
      </c>
      <c r="O792" s="153">
        <v>730</v>
      </c>
      <c r="P792" s="155">
        <v>800</v>
      </c>
      <c r="Q792" s="87">
        <f t="shared" si="406"/>
        <v>0.6</v>
      </c>
      <c r="R792" s="204" t="s">
        <v>893</v>
      </c>
      <c r="S792" s="171"/>
      <c r="U792" s="108" t="s">
        <v>894</v>
      </c>
    </row>
    <row r="793" spans="1:21" ht="13.5" customHeight="1" x14ac:dyDescent="0.2">
      <c r="A793" s="89"/>
      <c r="B793" s="90"/>
      <c r="C793" s="154" t="s">
        <v>202</v>
      </c>
      <c r="D793" s="157">
        <v>700</v>
      </c>
      <c r="E793" s="158"/>
      <c r="F793" s="153">
        <f t="shared" si="407"/>
        <v>700</v>
      </c>
      <c r="G793" s="153"/>
      <c r="H793" s="153">
        <f t="shared" si="426"/>
        <v>700</v>
      </c>
      <c r="I793" s="158">
        <v>135</v>
      </c>
      <c r="J793" s="159">
        <v>700</v>
      </c>
      <c r="K793" s="153"/>
      <c r="L793" s="153">
        <v>700</v>
      </c>
      <c r="M793" s="153"/>
      <c r="N793" s="153">
        <f t="shared" ref="N793:N795" si="430">+L793+M793</f>
        <v>700</v>
      </c>
      <c r="O793" s="153">
        <v>779</v>
      </c>
      <c r="P793" s="155">
        <v>1500</v>
      </c>
      <c r="Q793" s="87">
        <f t="shared" si="406"/>
        <v>1.1428571428571428</v>
      </c>
      <c r="R793" s="204"/>
      <c r="S793" s="171"/>
    </row>
    <row r="794" spans="1:21" ht="13.5" customHeight="1" x14ac:dyDescent="0.2">
      <c r="A794" s="89"/>
      <c r="B794" s="90"/>
      <c r="C794" s="154" t="s">
        <v>123</v>
      </c>
      <c r="D794" s="157">
        <v>50</v>
      </c>
      <c r="E794" s="158"/>
      <c r="F794" s="153">
        <f t="shared" si="407"/>
        <v>50</v>
      </c>
      <c r="G794" s="153"/>
      <c r="H794" s="153">
        <f t="shared" si="426"/>
        <v>50</v>
      </c>
      <c r="I794" s="158"/>
      <c r="J794" s="159">
        <v>50</v>
      </c>
      <c r="K794" s="153"/>
      <c r="L794" s="153">
        <v>50</v>
      </c>
      <c r="M794" s="153"/>
      <c r="N794" s="153">
        <f t="shared" si="430"/>
        <v>50</v>
      </c>
      <c r="O794" s="153"/>
      <c r="P794" s="155">
        <v>100</v>
      </c>
      <c r="Q794" s="87">
        <f t="shared" si="406"/>
        <v>1</v>
      </c>
      <c r="R794" s="204"/>
      <c r="S794" s="171"/>
    </row>
    <row r="795" spans="1:21" ht="13.5" customHeight="1" x14ac:dyDescent="0.2">
      <c r="A795" s="89"/>
      <c r="B795" s="90"/>
      <c r="C795" s="154" t="s">
        <v>284</v>
      </c>
      <c r="D795" s="157">
        <v>1200</v>
      </c>
      <c r="E795" s="158"/>
      <c r="F795" s="153">
        <f t="shared" si="407"/>
        <v>1200</v>
      </c>
      <c r="G795" s="153"/>
      <c r="H795" s="153">
        <f t="shared" si="426"/>
        <v>1200</v>
      </c>
      <c r="I795" s="158"/>
      <c r="J795" s="159">
        <v>1200</v>
      </c>
      <c r="K795" s="153"/>
      <c r="L795" s="153">
        <v>1200</v>
      </c>
      <c r="M795" s="153"/>
      <c r="N795" s="153">
        <f t="shared" si="430"/>
        <v>1200</v>
      </c>
      <c r="O795" s="153"/>
      <c r="P795" s="155">
        <v>0</v>
      </c>
      <c r="Q795" s="87">
        <f t="shared" si="406"/>
        <v>-1</v>
      </c>
      <c r="R795" s="206" t="s">
        <v>896</v>
      </c>
      <c r="S795" s="171"/>
    </row>
    <row r="796" spans="1:21" ht="13.5" customHeight="1" x14ac:dyDescent="0.2">
      <c r="A796" s="89"/>
      <c r="B796" s="90">
        <v>5513</v>
      </c>
      <c r="C796" s="72" t="s">
        <v>243</v>
      </c>
      <c r="D796" s="102">
        <v>100</v>
      </c>
      <c r="E796" s="71"/>
      <c r="F796" s="74">
        <f t="shared" si="407"/>
        <v>100</v>
      </c>
      <c r="G796" s="74"/>
      <c r="H796" s="74">
        <f t="shared" si="426"/>
        <v>100</v>
      </c>
      <c r="I796" s="71">
        <v>66</v>
      </c>
      <c r="J796" s="73">
        <v>100</v>
      </c>
      <c r="K796" s="74"/>
      <c r="L796" s="74">
        <v>100</v>
      </c>
      <c r="M796" s="74"/>
      <c r="N796" s="74">
        <f>+L796+M796</f>
        <v>100</v>
      </c>
      <c r="O796" s="74">
        <v>70</v>
      </c>
      <c r="P796" s="67">
        <v>150</v>
      </c>
      <c r="Q796" s="87">
        <f t="shared" si="406"/>
        <v>0.5</v>
      </c>
      <c r="R796" s="203"/>
    </row>
    <row r="797" spans="1:21" ht="13.5" customHeight="1" x14ac:dyDescent="0.2">
      <c r="A797" s="89"/>
      <c r="B797" s="90">
        <v>5514</v>
      </c>
      <c r="C797" s="72" t="s">
        <v>297</v>
      </c>
      <c r="D797" s="102">
        <v>1100</v>
      </c>
      <c r="E797" s="71"/>
      <c r="F797" s="74">
        <f t="shared" si="407"/>
        <v>1100</v>
      </c>
      <c r="G797" s="74"/>
      <c r="H797" s="74">
        <f t="shared" si="426"/>
        <v>1100</v>
      </c>
      <c r="I797" s="71">
        <v>845</v>
      </c>
      <c r="J797" s="73">
        <v>1100</v>
      </c>
      <c r="K797" s="74"/>
      <c r="L797" s="74">
        <v>1100</v>
      </c>
      <c r="M797" s="74"/>
      <c r="N797" s="74">
        <f t="shared" ref="N797:N801" si="431">+L797+M797</f>
        <v>1100</v>
      </c>
      <c r="O797" s="74">
        <v>825</v>
      </c>
      <c r="P797" s="67">
        <v>1000</v>
      </c>
      <c r="Q797" s="87">
        <f t="shared" si="406"/>
        <v>-9.0909090909090912E-2</v>
      </c>
      <c r="R797" s="203"/>
    </row>
    <row r="798" spans="1:21" ht="13.5" customHeight="1" x14ac:dyDescent="0.2">
      <c r="A798" s="89"/>
      <c r="B798" s="90">
        <v>5515</v>
      </c>
      <c r="C798" s="72" t="s">
        <v>298</v>
      </c>
      <c r="D798" s="102">
        <v>0</v>
      </c>
      <c r="E798" s="71"/>
      <c r="F798" s="74">
        <f t="shared" si="407"/>
        <v>0</v>
      </c>
      <c r="G798" s="74"/>
      <c r="H798" s="74">
        <f t="shared" si="426"/>
        <v>0</v>
      </c>
      <c r="I798" s="71">
        <v>0</v>
      </c>
      <c r="J798" s="73"/>
      <c r="K798" s="74"/>
      <c r="L798" s="74"/>
      <c r="M798" s="74"/>
      <c r="N798" s="74">
        <f t="shared" si="431"/>
        <v>0</v>
      </c>
      <c r="O798" s="74"/>
      <c r="P798" s="67">
        <f>+M798+N798</f>
        <v>0</v>
      </c>
      <c r="Q798" s="87" t="e">
        <f t="shared" si="406"/>
        <v>#DIV/0!</v>
      </c>
      <c r="R798" s="203"/>
    </row>
    <row r="799" spans="1:21" ht="13.5" customHeight="1" x14ac:dyDescent="0.2">
      <c r="A799" s="89"/>
      <c r="B799" s="90">
        <v>5522</v>
      </c>
      <c r="C799" s="72" t="s">
        <v>302</v>
      </c>
      <c r="D799" s="102">
        <v>220</v>
      </c>
      <c r="E799" s="71"/>
      <c r="F799" s="74">
        <f t="shared" si="407"/>
        <v>220</v>
      </c>
      <c r="G799" s="74"/>
      <c r="H799" s="74">
        <f t="shared" si="426"/>
        <v>220</v>
      </c>
      <c r="I799" s="71">
        <v>0</v>
      </c>
      <c r="J799" s="99"/>
      <c r="K799" s="98"/>
      <c r="L799" s="98"/>
      <c r="M799" s="98"/>
      <c r="N799" s="74">
        <f t="shared" si="431"/>
        <v>0</v>
      </c>
      <c r="O799" s="74"/>
      <c r="P799" s="67">
        <f>+M799+N799</f>
        <v>0</v>
      </c>
      <c r="Q799" s="87" t="e">
        <f t="shared" si="406"/>
        <v>#DIV/0!</v>
      </c>
      <c r="R799" s="203"/>
    </row>
    <row r="800" spans="1:21" ht="13.5" customHeight="1" x14ac:dyDescent="0.2">
      <c r="A800" s="89"/>
      <c r="B800" s="90">
        <v>5523</v>
      </c>
      <c r="C800" s="72" t="s">
        <v>280</v>
      </c>
      <c r="D800" s="102">
        <v>2000</v>
      </c>
      <c r="E800" s="71"/>
      <c r="F800" s="74">
        <f t="shared" ref="F800:F823" si="432">+E800+D800</f>
        <v>2000</v>
      </c>
      <c r="G800" s="74"/>
      <c r="H800" s="74">
        <f t="shared" si="426"/>
        <v>2000</v>
      </c>
      <c r="I800" s="71">
        <v>1609</v>
      </c>
      <c r="J800" s="73">
        <v>2000</v>
      </c>
      <c r="K800" s="74"/>
      <c r="L800" s="74">
        <v>2000</v>
      </c>
      <c r="M800" s="74"/>
      <c r="N800" s="74">
        <f t="shared" si="431"/>
        <v>2000</v>
      </c>
      <c r="O800" s="74">
        <v>1537</v>
      </c>
      <c r="P800" s="67">
        <v>2200</v>
      </c>
      <c r="Q800" s="87">
        <f t="shared" si="406"/>
        <v>0.1</v>
      </c>
      <c r="R800" s="203"/>
    </row>
    <row r="801" spans="1:26" ht="13.5" customHeight="1" x14ac:dyDescent="0.2">
      <c r="A801" s="89"/>
      <c r="B801" s="90">
        <v>5525</v>
      </c>
      <c r="C801" s="72" t="s">
        <v>299</v>
      </c>
      <c r="D801" s="102">
        <v>150</v>
      </c>
      <c r="E801" s="71"/>
      <c r="F801" s="74">
        <f t="shared" si="432"/>
        <v>150</v>
      </c>
      <c r="G801" s="74"/>
      <c r="H801" s="74">
        <f t="shared" si="426"/>
        <v>150</v>
      </c>
      <c r="I801" s="71">
        <v>36</v>
      </c>
      <c r="J801" s="73">
        <v>300</v>
      </c>
      <c r="K801" s="74"/>
      <c r="L801" s="74">
        <v>300</v>
      </c>
      <c r="M801" s="74"/>
      <c r="N801" s="74">
        <f t="shared" si="431"/>
        <v>300</v>
      </c>
      <c r="O801" s="74">
        <v>137</v>
      </c>
      <c r="P801" s="67">
        <v>500</v>
      </c>
      <c r="Q801" s="87">
        <f t="shared" si="406"/>
        <v>0.66666666666666663</v>
      </c>
      <c r="R801" s="203"/>
    </row>
    <row r="802" spans="1:26" ht="13.5" customHeight="1" x14ac:dyDescent="0.2">
      <c r="A802" s="146" t="s">
        <v>303</v>
      </c>
      <c r="B802" s="147"/>
      <c r="C802" s="207" t="s">
        <v>304</v>
      </c>
      <c r="D802" s="149">
        <v>23120</v>
      </c>
      <c r="E802" s="150"/>
      <c r="F802" s="137">
        <f t="shared" si="432"/>
        <v>23120</v>
      </c>
      <c r="G802" s="137">
        <v>0</v>
      </c>
      <c r="H802" s="137">
        <f>+H803+H804</f>
        <v>23120</v>
      </c>
      <c r="I802" s="151">
        <f>+I803+I804</f>
        <v>17446</v>
      </c>
      <c r="J802" s="189">
        <f>+J803+J804</f>
        <v>25065</v>
      </c>
      <c r="K802" s="189">
        <f t="shared" ref="K802:L802" si="433">+K803+K804</f>
        <v>0</v>
      </c>
      <c r="L802" s="189">
        <f t="shared" si="433"/>
        <v>24565</v>
      </c>
      <c r="M802" s="189">
        <f t="shared" ref="M802:N802" si="434">+M803+M804</f>
        <v>0</v>
      </c>
      <c r="N802" s="189">
        <f t="shared" si="434"/>
        <v>24565</v>
      </c>
      <c r="O802" s="189">
        <f t="shared" ref="O802:P802" si="435">+O803+O804</f>
        <v>17660</v>
      </c>
      <c r="P802" s="189">
        <f t="shared" si="435"/>
        <v>28504</v>
      </c>
      <c r="Q802" s="87">
        <f t="shared" si="406"/>
        <v>0.16035009159373093</v>
      </c>
      <c r="R802" s="203"/>
    </row>
    <row r="803" spans="1:26" ht="13.5" customHeight="1" x14ac:dyDescent="0.2">
      <c r="A803" s="89"/>
      <c r="B803" s="95" t="s">
        <v>101</v>
      </c>
      <c r="C803" s="96" t="s">
        <v>102</v>
      </c>
      <c r="D803" s="43">
        <v>14450</v>
      </c>
      <c r="E803" s="97"/>
      <c r="F803" s="98">
        <f t="shared" si="432"/>
        <v>14450</v>
      </c>
      <c r="G803" s="98"/>
      <c r="H803" s="98">
        <f t="shared" ref="H803:H819" si="436">+G803+F803</f>
        <v>14450</v>
      </c>
      <c r="I803" s="97">
        <v>10430</v>
      </c>
      <c r="J803" s="99">
        <v>15455</v>
      </c>
      <c r="K803" s="98"/>
      <c r="L803" s="182">
        <v>15455</v>
      </c>
      <c r="M803" s="182"/>
      <c r="N803" s="182">
        <f>+L803+M803</f>
        <v>15455</v>
      </c>
      <c r="O803" s="182">
        <v>12690</v>
      </c>
      <c r="P803" s="78">
        <v>18304</v>
      </c>
      <c r="Q803" s="87">
        <f t="shared" si="406"/>
        <v>0.18434163701067616</v>
      </c>
      <c r="R803" s="203" t="s">
        <v>844</v>
      </c>
      <c r="S803" s="108"/>
    </row>
    <row r="804" spans="1:26" ht="13.5" customHeight="1" x14ac:dyDescent="0.2">
      <c r="A804" s="89"/>
      <c r="B804" s="95" t="s">
        <v>103</v>
      </c>
      <c r="C804" s="96" t="s">
        <v>104</v>
      </c>
      <c r="D804" s="43">
        <v>8670</v>
      </c>
      <c r="E804" s="97"/>
      <c r="F804" s="98">
        <f t="shared" si="432"/>
        <v>8670</v>
      </c>
      <c r="G804" s="98"/>
      <c r="H804" s="98">
        <f t="shared" si="436"/>
        <v>8670</v>
      </c>
      <c r="I804" s="97">
        <f>SUM(I805:I819)</f>
        <v>7016</v>
      </c>
      <c r="J804" s="99">
        <f>SUM(J805:J819)</f>
        <v>9610</v>
      </c>
      <c r="K804" s="98"/>
      <c r="L804" s="170">
        <f>+L805+L806+L807+L808+L812+L813+L814+L815+L816+L818+L819</f>
        <v>9110</v>
      </c>
      <c r="M804" s="170">
        <f>+M805+M806+M807+M808+M812+M813+M814+M815+M816+M818+M819</f>
        <v>0</v>
      </c>
      <c r="N804" s="170">
        <f>+N805+N806+N807+N808+N812+N813+N814+N815+N816+N818+N819</f>
        <v>9110</v>
      </c>
      <c r="O804" s="170">
        <f>+O805+O806+O807+O808+O812+O813+O814+O815+O816+O818+O819</f>
        <v>4970</v>
      </c>
      <c r="P804" s="170">
        <f>+P805+P806+P807+P808+P812+P813+P814+P815+P816+P818+P819</f>
        <v>10200</v>
      </c>
      <c r="Q804" s="87">
        <f t="shared" si="406"/>
        <v>0.11964873765093303</v>
      </c>
      <c r="R804" s="203"/>
    </row>
    <row r="805" spans="1:26" ht="13.5" customHeight="1" x14ac:dyDescent="0.2">
      <c r="A805" s="89"/>
      <c r="B805" s="90">
        <v>5500</v>
      </c>
      <c r="C805" s="72" t="s">
        <v>180</v>
      </c>
      <c r="D805" s="102">
        <v>1850</v>
      </c>
      <c r="E805" s="71"/>
      <c r="F805" s="74">
        <f t="shared" si="432"/>
        <v>1850</v>
      </c>
      <c r="G805" s="74"/>
      <c r="H805" s="74">
        <f t="shared" si="436"/>
        <v>1850</v>
      </c>
      <c r="I805" s="71">
        <v>1498</v>
      </c>
      <c r="J805" s="73">
        <v>1980</v>
      </c>
      <c r="K805" s="74"/>
      <c r="L805" s="74">
        <v>1980</v>
      </c>
      <c r="M805" s="74"/>
      <c r="N805" s="74">
        <f t="shared" ref="N805:N806" si="437">+L805+M805</f>
        <v>1980</v>
      </c>
      <c r="O805" s="74">
        <v>293</v>
      </c>
      <c r="P805" s="67">
        <v>1500</v>
      </c>
      <c r="Q805" s="87">
        <f t="shared" si="406"/>
        <v>-0.24242424242424243</v>
      </c>
      <c r="R805" s="204"/>
    </row>
    <row r="806" spans="1:26" ht="13.5" customHeight="1" x14ac:dyDescent="0.2">
      <c r="A806" s="89"/>
      <c r="B806" s="90">
        <v>5503</v>
      </c>
      <c r="C806" s="72" t="s">
        <v>107</v>
      </c>
      <c r="D806" s="102">
        <v>0</v>
      </c>
      <c r="E806" s="71"/>
      <c r="F806" s="74">
        <f t="shared" si="432"/>
        <v>0</v>
      </c>
      <c r="G806" s="74"/>
      <c r="H806" s="74">
        <f t="shared" si="436"/>
        <v>0</v>
      </c>
      <c r="I806" s="71"/>
      <c r="J806" s="73">
        <v>0</v>
      </c>
      <c r="K806" s="74"/>
      <c r="L806" s="74">
        <v>0</v>
      </c>
      <c r="M806" s="74"/>
      <c r="N806" s="74">
        <f t="shared" si="437"/>
        <v>0</v>
      </c>
      <c r="O806" s="74"/>
      <c r="P806" s="67">
        <v>300</v>
      </c>
      <c r="Q806" s="87">
        <v>1</v>
      </c>
      <c r="R806" s="203"/>
      <c r="S806" s="53"/>
    </row>
    <row r="807" spans="1:26" ht="13.5" customHeight="1" x14ac:dyDescent="0.2">
      <c r="A807" s="89"/>
      <c r="B807" s="90">
        <v>5504</v>
      </c>
      <c r="C807" s="72" t="s">
        <v>118</v>
      </c>
      <c r="D807" s="102">
        <v>400</v>
      </c>
      <c r="E807" s="71"/>
      <c r="F807" s="74">
        <f t="shared" si="432"/>
        <v>400</v>
      </c>
      <c r="G807" s="74"/>
      <c r="H807" s="74">
        <f t="shared" si="436"/>
        <v>400</v>
      </c>
      <c r="I807" s="71">
        <v>14</v>
      </c>
      <c r="J807" s="73">
        <v>300</v>
      </c>
      <c r="K807" s="74"/>
      <c r="L807" s="74">
        <v>300</v>
      </c>
      <c r="M807" s="74"/>
      <c r="N807" s="74">
        <f>+L807+M807</f>
        <v>300</v>
      </c>
      <c r="O807" s="74">
        <v>38</v>
      </c>
      <c r="P807" s="67">
        <f>+M807+N807</f>
        <v>300</v>
      </c>
      <c r="Q807" s="87">
        <f t="shared" si="406"/>
        <v>0</v>
      </c>
      <c r="R807" s="203" t="s">
        <v>864</v>
      </c>
      <c r="S807" s="53"/>
    </row>
    <row r="808" spans="1:26" ht="13.5" customHeight="1" x14ac:dyDescent="0.2">
      <c r="A808" s="89"/>
      <c r="B808" s="90">
        <v>5511</v>
      </c>
      <c r="C808" s="72" t="s">
        <v>222</v>
      </c>
      <c r="D808" s="102">
        <v>100</v>
      </c>
      <c r="E808" s="71"/>
      <c r="F808" s="74">
        <f t="shared" si="432"/>
        <v>100</v>
      </c>
      <c r="G808" s="74"/>
      <c r="H808" s="74">
        <f t="shared" si="436"/>
        <v>100</v>
      </c>
      <c r="I808" s="71">
        <v>187</v>
      </c>
      <c r="J808" s="73">
        <v>100</v>
      </c>
      <c r="K808" s="74"/>
      <c r="L808" s="74">
        <f>SUM(L809:L811)</f>
        <v>100</v>
      </c>
      <c r="M808" s="74">
        <f>SUM(M809:M811)</f>
        <v>0</v>
      </c>
      <c r="N808" s="74">
        <f>SUM(N809:N811)</f>
        <v>100</v>
      </c>
      <c r="O808" s="74">
        <f>SUM(O809:O811)</f>
        <v>27</v>
      </c>
      <c r="P808" s="67">
        <f>P809+P810+P811</f>
        <v>50</v>
      </c>
      <c r="Q808" s="87">
        <f t="shared" si="406"/>
        <v>-0.5</v>
      </c>
      <c r="R808" s="204"/>
      <c r="Z808" s="53"/>
    </row>
    <row r="809" spans="1:26" ht="13.5" customHeight="1" x14ac:dyDescent="0.2">
      <c r="A809" s="89"/>
      <c r="B809" s="90"/>
      <c r="C809" s="154" t="s">
        <v>123</v>
      </c>
      <c r="D809" s="157">
        <v>100</v>
      </c>
      <c r="E809" s="71"/>
      <c r="F809" s="74">
        <f t="shared" si="432"/>
        <v>100</v>
      </c>
      <c r="G809" s="74"/>
      <c r="H809" s="153">
        <f t="shared" si="436"/>
        <v>100</v>
      </c>
      <c r="I809" s="158">
        <v>0</v>
      </c>
      <c r="J809" s="159">
        <v>200</v>
      </c>
      <c r="K809" s="153"/>
      <c r="L809" s="153">
        <v>0</v>
      </c>
      <c r="M809" s="153"/>
      <c r="N809" s="153">
        <f t="shared" ref="N809:N811" si="438">+L809+M809</f>
        <v>0</v>
      </c>
      <c r="O809" s="153">
        <v>27</v>
      </c>
      <c r="P809" s="155">
        <v>50</v>
      </c>
      <c r="Q809" s="87">
        <v>1</v>
      </c>
      <c r="R809" s="203"/>
      <c r="Z809" s="53"/>
    </row>
    <row r="810" spans="1:26" ht="13.5" customHeight="1" x14ac:dyDescent="0.2">
      <c r="A810" s="89"/>
      <c r="B810" s="90"/>
      <c r="C810" s="154" t="s">
        <v>252</v>
      </c>
      <c r="D810" s="157"/>
      <c r="E810" s="71"/>
      <c r="F810" s="74"/>
      <c r="G810" s="74"/>
      <c r="H810" s="153"/>
      <c r="I810" s="158"/>
      <c r="J810" s="159"/>
      <c r="K810" s="153"/>
      <c r="L810" s="153"/>
      <c r="M810" s="153"/>
      <c r="N810" s="153"/>
      <c r="O810" s="153"/>
      <c r="P810" s="155"/>
      <c r="Q810" s="87">
        <v>1</v>
      </c>
      <c r="R810" s="206" t="s">
        <v>1411</v>
      </c>
      <c r="Z810" s="53"/>
    </row>
    <row r="811" spans="1:26" ht="13.5" customHeight="1" x14ac:dyDescent="0.2">
      <c r="A811" s="89"/>
      <c r="B811" s="90"/>
      <c r="C811" s="154" t="s">
        <v>128</v>
      </c>
      <c r="D811" s="157">
        <v>300</v>
      </c>
      <c r="E811" s="71"/>
      <c r="F811" s="74">
        <f t="shared" si="432"/>
        <v>300</v>
      </c>
      <c r="G811" s="74"/>
      <c r="H811" s="153">
        <f t="shared" si="436"/>
        <v>300</v>
      </c>
      <c r="I811" s="158">
        <v>386</v>
      </c>
      <c r="J811" s="159">
        <v>300</v>
      </c>
      <c r="K811" s="153"/>
      <c r="L811" s="153">
        <v>100</v>
      </c>
      <c r="M811" s="153"/>
      <c r="N811" s="153">
        <f t="shared" si="438"/>
        <v>100</v>
      </c>
      <c r="O811" s="153"/>
      <c r="P811" s="155">
        <v>0</v>
      </c>
      <c r="Q811" s="87">
        <f t="shared" si="406"/>
        <v>-1</v>
      </c>
      <c r="R811" s="203"/>
      <c r="Z811" s="53"/>
    </row>
    <row r="812" spans="1:26" ht="13.5" customHeight="1" x14ac:dyDescent="0.2">
      <c r="A812" s="89"/>
      <c r="B812" s="90">
        <v>5513</v>
      </c>
      <c r="C812" s="72" t="s">
        <v>243</v>
      </c>
      <c r="D812" s="102">
        <v>70</v>
      </c>
      <c r="E812" s="71"/>
      <c r="F812" s="74">
        <f t="shared" si="432"/>
        <v>70</v>
      </c>
      <c r="G812" s="74"/>
      <c r="H812" s="74">
        <f t="shared" si="436"/>
        <v>70</v>
      </c>
      <c r="I812" s="71">
        <v>0</v>
      </c>
      <c r="J812" s="73">
        <v>100</v>
      </c>
      <c r="K812" s="74"/>
      <c r="L812" s="74">
        <v>100</v>
      </c>
      <c r="M812" s="74"/>
      <c r="N812" s="74">
        <f>+L812+M812</f>
        <v>100</v>
      </c>
      <c r="O812" s="74"/>
      <c r="P812" s="67">
        <f>+M812+N812</f>
        <v>100</v>
      </c>
      <c r="Q812" s="87">
        <f t="shared" si="406"/>
        <v>0</v>
      </c>
      <c r="R812" s="204"/>
      <c r="Z812" s="53"/>
    </row>
    <row r="813" spans="1:26" ht="13.5" customHeight="1" x14ac:dyDescent="0.2">
      <c r="A813" s="89"/>
      <c r="B813" s="90">
        <v>5514</v>
      </c>
      <c r="C813" s="72" t="s">
        <v>297</v>
      </c>
      <c r="D813" s="102">
        <v>1000</v>
      </c>
      <c r="E813" s="71"/>
      <c r="F813" s="74">
        <f t="shared" si="432"/>
        <v>1000</v>
      </c>
      <c r="G813" s="74"/>
      <c r="H813" s="74">
        <f t="shared" si="436"/>
        <v>1000</v>
      </c>
      <c r="I813" s="71">
        <v>735</v>
      </c>
      <c r="J813" s="73">
        <v>950</v>
      </c>
      <c r="K813" s="74"/>
      <c r="L813" s="74">
        <v>950</v>
      </c>
      <c r="M813" s="74"/>
      <c r="N813" s="74">
        <f t="shared" ref="N813:N819" si="439">+L813+M813</f>
        <v>950</v>
      </c>
      <c r="O813" s="74">
        <v>715</v>
      </c>
      <c r="P813" s="67">
        <f>+M813+N813</f>
        <v>950</v>
      </c>
      <c r="Q813" s="87">
        <f t="shared" si="406"/>
        <v>0</v>
      </c>
      <c r="R813" s="204"/>
    </row>
    <row r="814" spans="1:26" ht="13.5" customHeight="1" x14ac:dyDescent="0.2">
      <c r="A814" s="89"/>
      <c r="B814" s="90">
        <v>5515</v>
      </c>
      <c r="C814" s="72" t="s">
        <v>298</v>
      </c>
      <c r="D814" s="102">
        <v>700</v>
      </c>
      <c r="E814" s="71"/>
      <c r="F814" s="74">
        <f t="shared" si="432"/>
        <v>700</v>
      </c>
      <c r="G814" s="74"/>
      <c r="H814" s="74">
        <f t="shared" si="436"/>
        <v>700</v>
      </c>
      <c r="I814" s="71">
        <v>742</v>
      </c>
      <c r="J814" s="73">
        <v>400</v>
      </c>
      <c r="K814" s="74"/>
      <c r="L814" s="74">
        <v>400</v>
      </c>
      <c r="M814" s="74"/>
      <c r="N814" s="74">
        <f t="shared" si="439"/>
        <v>400</v>
      </c>
      <c r="O814" s="74">
        <v>241</v>
      </c>
      <c r="P814" s="67">
        <f>+M814+N814</f>
        <v>400</v>
      </c>
      <c r="Q814" s="87">
        <f t="shared" si="406"/>
        <v>0</v>
      </c>
      <c r="R814" s="204"/>
    </row>
    <row r="815" spans="1:26" ht="13.5" customHeight="1" x14ac:dyDescent="0.2">
      <c r="A815" s="89"/>
      <c r="B815" s="90">
        <v>5522</v>
      </c>
      <c r="C815" s="72" t="s">
        <v>302</v>
      </c>
      <c r="D815" s="102">
        <v>100</v>
      </c>
      <c r="E815" s="71"/>
      <c r="F815" s="74">
        <f t="shared" si="432"/>
        <v>100</v>
      </c>
      <c r="G815" s="74"/>
      <c r="H815" s="74">
        <f t="shared" si="436"/>
        <v>100</v>
      </c>
      <c r="I815" s="71">
        <v>56</v>
      </c>
      <c r="J815" s="73">
        <v>30</v>
      </c>
      <c r="K815" s="74"/>
      <c r="L815" s="74">
        <v>30</v>
      </c>
      <c r="M815" s="74"/>
      <c r="N815" s="74">
        <f t="shared" si="439"/>
        <v>30</v>
      </c>
      <c r="O815" s="74"/>
      <c r="P815" s="67">
        <v>100</v>
      </c>
      <c r="Q815" s="87">
        <f t="shared" si="406"/>
        <v>2.3333333333333335</v>
      </c>
      <c r="R815" s="204" t="s">
        <v>1575</v>
      </c>
      <c r="S815" s="49"/>
    </row>
    <row r="816" spans="1:26" ht="13.5" customHeight="1" x14ac:dyDescent="0.2">
      <c r="A816" s="89"/>
      <c r="B816" s="90">
        <v>5523</v>
      </c>
      <c r="C816" s="72" t="s">
        <v>280</v>
      </c>
      <c r="D816" s="102">
        <v>2600</v>
      </c>
      <c r="E816" s="71"/>
      <c r="F816" s="74">
        <f t="shared" si="432"/>
        <v>2600</v>
      </c>
      <c r="G816" s="74"/>
      <c r="H816" s="74">
        <f t="shared" si="436"/>
        <v>2600</v>
      </c>
      <c r="I816" s="71">
        <v>2829</v>
      </c>
      <c r="J816" s="73">
        <v>3400</v>
      </c>
      <c r="K816" s="74"/>
      <c r="L816" s="74">
        <v>3400</v>
      </c>
      <c r="M816" s="74"/>
      <c r="N816" s="74">
        <f t="shared" si="439"/>
        <v>3400</v>
      </c>
      <c r="O816" s="74">
        <v>2505</v>
      </c>
      <c r="P816" s="67">
        <v>4300</v>
      </c>
      <c r="Q816" s="87">
        <f t="shared" si="406"/>
        <v>0.26470588235294118</v>
      </c>
      <c r="R816" s="203"/>
      <c r="S816" s="49"/>
    </row>
    <row r="817" spans="1:26" ht="13.5" customHeight="1" x14ac:dyDescent="0.2">
      <c r="A817" s="89"/>
      <c r="B817" s="90">
        <v>5524</v>
      </c>
      <c r="C817" s="72" t="s">
        <v>870</v>
      </c>
      <c r="D817" s="102"/>
      <c r="E817" s="71"/>
      <c r="F817" s="74"/>
      <c r="G817" s="74"/>
      <c r="H817" s="74"/>
      <c r="I817" s="71"/>
      <c r="J817" s="73"/>
      <c r="K817" s="74"/>
      <c r="L817" s="74"/>
      <c r="M817" s="74"/>
      <c r="N817" s="74"/>
      <c r="O817" s="74"/>
      <c r="P817" s="67">
        <v>0</v>
      </c>
      <c r="Q817" s="87">
        <v>1</v>
      </c>
      <c r="S817" s="49"/>
    </row>
    <row r="818" spans="1:26" ht="13.5" customHeight="1" x14ac:dyDescent="0.2">
      <c r="A818" s="89"/>
      <c r="B818" s="90">
        <v>5525</v>
      </c>
      <c r="C818" s="72" t="s">
        <v>299</v>
      </c>
      <c r="D818" s="102">
        <v>1850</v>
      </c>
      <c r="E818" s="71"/>
      <c r="F818" s="74">
        <f t="shared" si="432"/>
        <v>1850</v>
      </c>
      <c r="G818" s="74"/>
      <c r="H818" s="74">
        <f t="shared" si="436"/>
        <v>1850</v>
      </c>
      <c r="I818" s="71">
        <v>569</v>
      </c>
      <c r="J818" s="73">
        <v>1850</v>
      </c>
      <c r="K818" s="74"/>
      <c r="L818" s="74">
        <v>1850</v>
      </c>
      <c r="M818" s="74"/>
      <c r="N818" s="74">
        <f t="shared" si="439"/>
        <v>1850</v>
      </c>
      <c r="O818" s="74">
        <v>1151</v>
      </c>
      <c r="P818" s="67">
        <f>1850+350</f>
        <v>2200</v>
      </c>
      <c r="Q818" s="87">
        <f t="shared" si="406"/>
        <v>0.1891891891891892</v>
      </c>
      <c r="R818" s="203" t="s">
        <v>898</v>
      </c>
      <c r="S818" s="49"/>
      <c r="Z818" s="49"/>
    </row>
    <row r="819" spans="1:26" ht="13.5" customHeight="1" x14ac:dyDescent="0.2">
      <c r="A819" s="89"/>
      <c r="B819" s="90">
        <v>5540</v>
      </c>
      <c r="C819" s="72" t="s">
        <v>256</v>
      </c>
      <c r="D819" s="102">
        <v>0</v>
      </c>
      <c r="E819" s="71"/>
      <c r="F819" s="74">
        <f t="shared" si="432"/>
        <v>0</v>
      </c>
      <c r="G819" s="74"/>
      <c r="H819" s="74">
        <f t="shared" si="436"/>
        <v>0</v>
      </c>
      <c r="I819" s="71">
        <v>0</v>
      </c>
      <c r="J819" s="73"/>
      <c r="K819" s="74"/>
      <c r="L819" s="74"/>
      <c r="M819" s="74"/>
      <c r="N819" s="74">
        <f t="shared" si="439"/>
        <v>0</v>
      </c>
      <c r="O819" s="74"/>
      <c r="P819" s="67">
        <f>+M819+N819</f>
        <v>0</v>
      </c>
      <c r="Q819" s="87" t="e">
        <f t="shared" si="406"/>
        <v>#DIV/0!</v>
      </c>
      <c r="R819" s="203"/>
      <c r="S819" s="49"/>
      <c r="Z819" s="49"/>
    </row>
    <row r="820" spans="1:26" ht="13.5" customHeight="1" x14ac:dyDescent="0.2">
      <c r="A820" s="146" t="s">
        <v>684</v>
      </c>
      <c r="B820" s="147"/>
      <c r="C820" s="148" t="s">
        <v>305</v>
      </c>
      <c r="D820" s="149">
        <v>9080</v>
      </c>
      <c r="E820" s="150"/>
      <c r="F820" s="137">
        <f t="shared" si="432"/>
        <v>9080</v>
      </c>
      <c r="G820" s="137">
        <v>0</v>
      </c>
      <c r="H820" s="137">
        <f>+H821+H822</f>
        <v>9080</v>
      </c>
      <c r="I820" s="151">
        <f>+I821+I822</f>
        <v>7254</v>
      </c>
      <c r="J820" s="152">
        <f>+J821+J822</f>
        <v>10158</v>
      </c>
      <c r="K820" s="152">
        <f t="shared" ref="K820:L820" si="440">+K821+K822</f>
        <v>0</v>
      </c>
      <c r="L820" s="152">
        <f t="shared" si="440"/>
        <v>9658</v>
      </c>
      <c r="M820" s="152">
        <f t="shared" ref="M820:N820" si="441">+M821+M822</f>
        <v>0</v>
      </c>
      <c r="N820" s="152">
        <f t="shared" si="441"/>
        <v>9658</v>
      </c>
      <c r="O820" s="152">
        <f t="shared" ref="O820:P820" si="442">+O821+O822</f>
        <v>7456</v>
      </c>
      <c r="P820" s="152">
        <f t="shared" si="442"/>
        <v>10159</v>
      </c>
      <c r="Q820" s="87">
        <f t="shared" si="406"/>
        <v>5.1874094015324085E-2</v>
      </c>
      <c r="R820" s="203" t="s">
        <v>899</v>
      </c>
      <c r="S820" s="49"/>
      <c r="Z820" s="49"/>
    </row>
    <row r="821" spans="1:26" ht="13.5" customHeight="1" x14ac:dyDescent="0.2">
      <c r="A821" s="89"/>
      <c r="B821" s="95" t="s">
        <v>101</v>
      </c>
      <c r="C821" s="96" t="s">
        <v>102</v>
      </c>
      <c r="D821" s="43">
        <v>5780</v>
      </c>
      <c r="E821" s="71"/>
      <c r="F821" s="98">
        <f t="shared" si="432"/>
        <v>5780</v>
      </c>
      <c r="G821" s="98"/>
      <c r="H821" s="98">
        <f>+G821+F821</f>
        <v>5780</v>
      </c>
      <c r="I821" s="97">
        <v>4826</v>
      </c>
      <c r="J821" s="99">
        <v>6358</v>
      </c>
      <c r="K821" s="98"/>
      <c r="L821" s="182">
        <v>6358</v>
      </c>
      <c r="M821" s="182"/>
      <c r="N821" s="182">
        <f>+L821+M821</f>
        <v>6358</v>
      </c>
      <c r="O821" s="182">
        <v>5305</v>
      </c>
      <c r="P821" s="78">
        <v>7322</v>
      </c>
      <c r="Q821" s="87">
        <f t="shared" si="406"/>
        <v>0.15162000629128658</v>
      </c>
      <c r="R821" s="203" t="s">
        <v>900</v>
      </c>
      <c r="S821" s="49"/>
      <c r="Z821" s="49"/>
    </row>
    <row r="822" spans="1:26" ht="13.5" customHeight="1" x14ac:dyDescent="0.2">
      <c r="A822" s="89"/>
      <c r="B822" s="95" t="s">
        <v>103</v>
      </c>
      <c r="C822" s="96" t="s">
        <v>104</v>
      </c>
      <c r="D822" s="43">
        <v>3300</v>
      </c>
      <c r="E822" s="71"/>
      <c r="F822" s="98">
        <f t="shared" si="432"/>
        <v>3300</v>
      </c>
      <c r="G822" s="98"/>
      <c r="H822" s="98">
        <f t="shared" ref="H822:H830" si="443">+G822+F822</f>
        <v>3300</v>
      </c>
      <c r="I822" s="97">
        <f>SUM(I823:I830)</f>
        <v>2428</v>
      </c>
      <c r="J822" s="99">
        <f>SUM(J823:J830)</f>
        <v>3800</v>
      </c>
      <c r="K822" s="98"/>
      <c r="L822" s="170">
        <f>+L823+L824+L825+L828+L829+L830</f>
        <v>3300</v>
      </c>
      <c r="M822" s="170">
        <f t="shared" ref="M822:N822" si="444">+M823+M824+M825+M828+M829+M830</f>
        <v>0</v>
      </c>
      <c r="N822" s="170">
        <f t="shared" si="444"/>
        <v>3300</v>
      </c>
      <c r="O822" s="170">
        <f t="shared" ref="O822" si="445">+O823+O824+O825+O828+O829+O830</f>
        <v>2151</v>
      </c>
      <c r="P822" s="170">
        <f t="shared" ref="P822" si="446">+P823+P824+P825+P828+P829+P830</f>
        <v>2837</v>
      </c>
      <c r="Q822" s="87">
        <f t="shared" si="406"/>
        <v>-0.14030303030303029</v>
      </c>
      <c r="R822" s="203"/>
      <c r="S822" s="49"/>
      <c r="Z822" s="49"/>
    </row>
    <row r="823" spans="1:26" ht="13.5" customHeight="1" x14ac:dyDescent="0.2">
      <c r="A823" s="89"/>
      <c r="B823" s="90">
        <v>5500</v>
      </c>
      <c r="C823" s="72" t="s">
        <v>180</v>
      </c>
      <c r="D823" s="102">
        <v>600</v>
      </c>
      <c r="E823" s="71"/>
      <c r="F823" s="74">
        <f t="shared" si="432"/>
        <v>600</v>
      </c>
      <c r="G823" s="74"/>
      <c r="H823" s="74">
        <f t="shared" si="443"/>
        <v>600</v>
      </c>
      <c r="I823" s="71">
        <v>342</v>
      </c>
      <c r="J823" s="73">
        <v>600</v>
      </c>
      <c r="K823" s="74"/>
      <c r="L823" s="74">
        <v>600</v>
      </c>
      <c r="M823" s="74"/>
      <c r="N823" s="74">
        <f>+L823+M823</f>
        <v>600</v>
      </c>
      <c r="O823" s="74">
        <v>386</v>
      </c>
      <c r="P823" s="67">
        <v>560</v>
      </c>
      <c r="Q823" s="87">
        <f t="shared" si="406"/>
        <v>-6.6666666666666666E-2</v>
      </c>
      <c r="R823" s="203"/>
      <c r="S823" s="49"/>
      <c r="Z823" s="49"/>
    </row>
    <row r="824" spans="1:26" ht="13.5" customHeight="1" x14ac:dyDescent="0.2">
      <c r="A824" s="89"/>
      <c r="B824" s="90">
        <v>5504</v>
      </c>
      <c r="C824" s="72" t="s">
        <v>118</v>
      </c>
      <c r="D824" s="102"/>
      <c r="E824" s="71"/>
      <c r="F824" s="74"/>
      <c r="G824" s="74"/>
      <c r="H824" s="74"/>
      <c r="I824" s="71">
        <v>7</v>
      </c>
      <c r="J824" s="73"/>
      <c r="K824" s="74"/>
      <c r="L824" s="74"/>
      <c r="M824" s="74"/>
      <c r="N824" s="74">
        <f>+L824+M824</f>
        <v>0</v>
      </c>
      <c r="O824" s="74"/>
      <c r="P824" s="67"/>
      <c r="Q824" s="87">
        <v>0</v>
      </c>
      <c r="R824" s="203"/>
      <c r="S824" s="49"/>
      <c r="Z824" s="49"/>
    </row>
    <row r="825" spans="1:26" ht="13.5" customHeight="1" x14ac:dyDescent="0.2">
      <c r="A825" s="89"/>
      <c r="B825" s="90">
        <v>5511</v>
      </c>
      <c r="C825" s="72" t="s">
        <v>222</v>
      </c>
      <c r="D825" s="102">
        <v>900</v>
      </c>
      <c r="E825" s="71"/>
      <c r="F825" s="74">
        <f t="shared" ref="F825:F860" si="447">+E825+D825</f>
        <v>900</v>
      </c>
      <c r="G825" s="74"/>
      <c r="H825" s="74">
        <f t="shared" si="443"/>
        <v>900</v>
      </c>
      <c r="I825" s="71">
        <v>0</v>
      </c>
      <c r="J825" s="73">
        <v>900</v>
      </c>
      <c r="K825" s="74"/>
      <c r="L825" s="74">
        <f>SUM(L826:L827)</f>
        <v>900</v>
      </c>
      <c r="M825" s="74">
        <f t="shared" ref="M825:O825" si="448">SUM(M826:M827)</f>
        <v>0</v>
      </c>
      <c r="N825" s="74">
        <f t="shared" si="448"/>
        <v>900</v>
      </c>
      <c r="O825" s="74">
        <f t="shared" si="448"/>
        <v>237</v>
      </c>
      <c r="P825" s="67">
        <f t="shared" ref="P825" si="449">SUM(P826:P827)</f>
        <v>237</v>
      </c>
      <c r="Q825" s="87">
        <f t="shared" si="406"/>
        <v>-0.73666666666666669</v>
      </c>
      <c r="R825" s="203" t="s">
        <v>902</v>
      </c>
      <c r="S825" s="49"/>
    </row>
    <row r="826" spans="1:26" ht="13.5" customHeight="1" x14ac:dyDescent="0.2">
      <c r="A826" s="89"/>
      <c r="B826" s="90"/>
      <c r="C826" s="154" t="s">
        <v>123</v>
      </c>
      <c r="D826" s="157">
        <v>100</v>
      </c>
      <c r="E826" s="71"/>
      <c r="F826" s="74">
        <f t="shared" si="447"/>
        <v>100</v>
      </c>
      <c r="G826" s="74"/>
      <c r="H826" s="153">
        <f t="shared" si="443"/>
        <v>100</v>
      </c>
      <c r="I826" s="158">
        <v>0</v>
      </c>
      <c r="J826" s="159">
        <v>200</v>
      </c>
      <c r="K826" s="153"/>
      <c r="L826" s="153">
        <v>0</v>
      </c>
      <c r="M826" s="153"/>
      <c r="N826" s="153">
        <f t="shared" ref="N826:N827" si="450">+L826+M826</f>
        <v>0</v>
      </c>
      <c r="O826" s="153"/>
      <c r="P826" s="155">
        <f>+M826+N826</f>
        <v>0</v>
      </c>
      <c r="Q826" s="87">
        <v>0</v>
      </c>
      <c r="R826" s="203"/>
      <c r="S826" s="49"/>
    </row>
    <row r="827" spans="1:26" ht="13.5" customHeight="1" x14ac:dyDescent="0.2">
      <c r="A827" s="89"/>
      <c r="B827" s="90"/>
      <c r="C827" s="154" t="s">
        <v>897</v>
      </c>
      <c r="D827" s="157">
        <v>300</v>
      </c>
      <c r="E827" s="71"/>
      <c r="F827" s="74">
        <f t="shared" si="447"/>
        <v>300</v>
      </c>
      <c r="G827" s="74"/>
      <c r="H827" s="153">
        <f t="shared" si="443"/>
        <v>300</v>
      </c>
      <c r="I827" s="158">
        <v>386</v>
      </c>
      <c r="J827" s="159">
        <v>300</v>
      </c>
      <c r="K827" s="153"/>
      <c r="L827" s="153">
        <v>900</v>
      </c>
      <c r="M827" s="153"/>
      <c r="N827" s="153">
        <f t="shared" si="450"/>
        <v>900</v>
      </c>
      <c r="O827" s="153">
        <v>237</v>
      </c>
      <c r="P827" s="155">
        <v>237</v>
      </c>
      <c r="Q827" s="87">
        <f t="shared" si="406"/>
        <v>-0.73666666666666669</v>
      </c>
      <c r="R827" s="203" t="s">
        <v>901</v>
      </c>
      <c r="S827" s="49"/>
    </row>
    <row r="828" spans="1:26" ht="13.5" customHeight="1" x14ac:dyDescent="0.2">
      <c r="A828" s="89"/>
      <c r="B828" s="90">
        <v>5514</v>
      </c>
      <c r="C828" s="72" t="s">
        <v>297</v>
      </c>
      <c r="D828" s="102">
        <v>300</v>
      </c>
      <c r="E828" s="71"/>
      <c r="F828" s="74">
        <f t="shared" si="447"/>
        <v>300</v>
      </c>
      <c r="G828" s="74"/>
      <c r="H828" s="74">
        <f t="shared" si="443"/>
        <v>300</v>
      </c>
      <c r="I828" s="71">
        <v>265</v>
      </c>
      <c r="J828" s="73">
        <v>300</v>
      </c>
      <c r="K828" s="74"/>
      <c r="L828" s="74">
        <v>300</v>
      </c>
      <c r="M828" s="74"/>
      <c r="N828" s="74">
        <f>+L828+M828</f>
        <v>300</v>
      </c>
      <c r="O828" s="74">
        <v>200</v>
      </c>
      <c r="P828" s="67">
        <v>240</v>
      </c>
      <c r="Q828" s="87">
        <f t="shared" ref="Q828:Q896" si="451">(P828-N828)/N828</f>
        <v>-0.2</v>
      </c>
      <c r="R828" s="203"/>
      <c r="S828" s="49"/>
    </row>
    <row r="829" spans="1:26" ht="13.5" customHeight="1" x14ac:dyDescent="0.2">
      <c r="A829" s="89"/>
      <c r="B829" s="90">
        <v>5515</v>
      </c>
      <c r="C829" s="72" t="s">
        <v>298</v>
      </c>
      <c r="D829" s="102">
        <v>0</v>
      </c>
      <c r="E829" s="71"/>
      <c r="F829" s="74">
        <f t="shared" si="447"/>
        <v>0</v>
      </c>
      <c r="G829" s="74"/>
      <c r="H829" s="74">
        <f t="shared" si="443"/>
        <v>0</v>
      </c>
      <c r="I829" s="71">
        <v>0</v>
      </c>
      <c r="J829" s="73">
        <v>0</v>
      </c>
      <c r="K829" s="74"/>
      <c r="L829" s="74">
        <v>0</v>
      </c>
      <c r="M829" s="74"/>
      <c r="N829" s="74">
        <f t="shared" ref="N829:N830" si="452">+L829+M829</f>
        <v>0</v>
      </c>
      <c r="O829" s="74"/>
      <c r="P829" s="67">
        <f>+M829+N829</f>
        <v>0</v>
      </c>
      <c r="Q829" s="87">
        <v>0</v>
      </c>
      <c r="R829" s="203"/>
    </row>
    <row r="830" spans="1:26" ht="13.5" customHeight="1" x14ac:dyDescent="0.2">
      <c r="A830" s="89"/>
      <c r="B830" s="90">
        <v>5523</v>
      </c>
      <c r="C830" s="72" t="s">
        <v>280</v>
      </c>
      <c r="D830" s="102">
        <v>1500</v>
      </c>
      <c r="E830" s="71"/>
      <c r="F830" s="74">
        <f t="shared" si="447"/>
        <v>1500</v>
      </c>
      <c r="G830" s="74"/>
      <c r="H830" s="74">
        <f t="shared" si="443"/>
        <v>1500</v>
      </c>
      <c r="I830" s="71">
        <v>1428</v>
      </c>
      <c r="J830" s="73">
        <v>1500</v>
      </c>
      <c r="K830" s="74"/>
      <c r="L830" s="74">
        <v>1500</v>
      </c>
      <c r="M830" s="74"/>
      <c r="N830" s="74">
        <f t="shared" si="452"/>
        <v>1500</v>
      </c>
      <c r="O830" s="74">
        <v>1328</v>
      </c>
      <c r="P830" s="67">
        <v>1800</v>
      </c>
      <c r="Q830" s="87">
        <f t="shared" si="451"/>
        <v>0.2</v>
      </c>
      <c r="R830" s="203"/>
    </row>
    <row r="831" spans="1:26" ht="13.5" customHeight="1" x14ac:dyDescent="0.2">
      <c r="A831" s="146" t="s">
        <v>306</v>
      </c>
      <c r="B831" s="147"/>
      <c r="C831" s="148" t="s">
        <v>307</v>
      </c>
      <c r="D831" s="149">
        <v>78130</v>
      </c>
      <c r="E831" s="151">
        <f>+E832+E833</f>
        <v>2135</v>
      </c>
      <c r="F831" s="137">
        <f t="shared" si="447"/>
        <v>80265</v>
      </c>
      <c r="G831" s="137">
        <v>0</v>
      </c>
      <c r="H831" s="137">
        <f>+H832+H833</f>
        <v>80265</v>
      </c>
      <c r="I831" s="151">
        <f>+I832+I833</f>
        <v>58662</v>
      </c>
      <c r="J831" s="152">
        <f>+J832+J833</f>
        <v>80840</v>
      </c>
      <c r="K831" s="152">
        <f t="shared" ref="K831:L831" si="453">+K832+K833</f>
        <v>-6800</v>
      </c>
      <c r="L831" s="152">
        <f t="shared" si="453"/>
        <v>74040</v>
      </c>
      <c r="M831" s="152">
        <f t="shared" ref="M831:N831" si="454">+M832+M833</f>
        <v>9964</v>
      </c>
      <c r="N831" s="152">
        <f t="shared" si="454"/>
        <v>84004</v>
      </c>
      <c r="O831" s="152">
        <f t="shared" ref="O831:P831" si="455">+O832+O833</f>
        <v>63034</v>
      </c>
      <c r="P831" s="152">
        <f t="shared" si="455"/>
        <v>105904</v>
      </c>
      <c r="Q831" s="87">
        <f t="shared" si="451"/>
        <v>0.26070187133946005</v>
      </c>
      <c r="R831" s="203" t="s">
        <v>903</v>
      </c>
    </row>
    <row r="832" spans="1:26" ht="13.5" customHeight="1" x14ac:dyDescent="0.2">
      <c r="A832" s="89"/>
      <c r="B832" s="95" t="s">
        <v>101</v>
      </c>
      <c r="C832" s="96" t="s">
        <v>102</v>
      </c>
      <c r="D832" s="43">
        <v>37890</v>
      </c>
      <c r="E832" s="97">
        <v>2135</v>
      </c>
      <c r="F832" s="98">
        <f t="shared" si="447"/>
        <v>40025</v>
      </c>
      <c r="G832" s="98"/>
      <c r="H832" s="98">
        <f>+G832+F832</f>
        <v>40025</v>
      </c>
      <c r="I832" s="97">
        <v>28560</v>
      </c>
      <c r="J832" s="99">
        <v>45000</v>
      </c>
      <c r="K832" s="98"/>
      <c r="L832" s="182">
        <f>+K832+J832</f>
        <v>45000</v>
      </c>
      <c r="M832" s="109">
        <v>964</v>
      </c>
      <c r="N832" s="182">
        <f t="shared" ref="N832:N848" si="456">+M832+L832</f>
        <v>45964</v>
      </c>
      <c r="O832" s="182">
        <v>32042</v>
      </c>
      <c r="P832" s="78">
        <v>51338</v>
      </c>
      <c r="Q832" s="87">
        <f t="shared" si="451"/>
        <v>0.11691758767731268</v>
      </c>
      <c r="R832" s="203" t="s">
        <v>1447</v>
      </c>
      <c r="W832" s="56" t="s">
        <v>1448</v>
      </c>
    </row>
    <row r="833" spans="1:21" ht="13.5" customHeight="1" x14ac:dyDescent="0.2">
      <c r="A833" s="89"/>
      <c r="B833" s="95">
        <v>55</v>
      </c>
      <c r="C833" s="96" t="s">
        <v>104</v>
      </c>
      <c r="D833" s="43">
        <v>40240</v>
      </c>
      <c r="E833" s="97">
        <v>0</v>
      </c>
      <c r="F833" s="98">
        <f t="shared" si="447"/>
        <v>40240</v>
      </c>
      <c r="G833" s="98"/>
      <c r="H833" s="98">
        <f t="shared" ref="H833:H852" si="457">+G833+F833</f>
        <v>40240</v>
      </c>
      <c r="I833" s="97">
        <f>+I834+I835+I836+I846+I847+I848+I850+I851+I852</f>
        <v>30102</v>
      </c>
      <c r="J833" s="99">
        <f>+J834+J835+J836+J846+J847+J848+J850+J851+J852</f>
        <v>35840</v>
      </c>
      <c r="K833" s="99">
        <f>+K834+K835+K836+K846+K847+K848+K850+K851+K852</f>
        <v>-6800</v>
      </c>
      <c r="L833" s="170">
        <f>+L834+L835+L836+L846+L847+L848+L850+L851+L852</f>
        <v>29040</v>
      </c>
      <c r="M833" s="170">
        <f t="shared" ref="M833:N833" si="458">+M834+M835+M836+M846+M847+M848+M850+M851+M852</f>
        <v>9000</v>
      </c>
      <c r="N833" s="170">
        <f t="shared" si="458"/>
        <v>38040</v>
      </c>
      <c r="O833" s="170">
        <f t="shared" ref="O833" si="459">+O834+O835+O836+O846+O847+O848+O850+O851+O852</f>
        <v>30992</v>
      </c>
      <c r="P833" s="170">
        <f>+P834+P835+P836+P846+P847+P848+P850+P851+P852+P849+P845</f>
        <v>54566</v>
      </c>
      <c r="Q833" s="87">
        <f t="shared" si="451"/>
        <v>0.43443743427970555</v>
      </c>
      <c r="R833" s="203"/>
      <c r="S833" s="108"/>
    </row>
    <row r="834" spans="1:21" ht="13.5" customHeight="1" x14ac:dyDescent="0.2">
      <c r="A834" s="89"/>
      <c r="B834" s="90">
        <v>5500</v>
      </c>
      <c r="C834" s="72" t="s">
        <v>180</v>
      </c>
      <c r="D834" s="102">
        <v>940</v>
      </c>
      <c r="E834" s="158"/>
      <c r="F834" s="74">
        <f t="shared" si="447"/>
        <v>940</v>
      </c>
      <c r="G834" s="74"/>
      <c r="H834" s="74">
        <f t="shared" si="457"/>
        <v>940</v>
      </c>
      <c r="I834" s="71">
        <v>704</v>
      </c>
      <c r="J834" s="73">
        <v>940</v>
      </c>
      <c r="K834" s="74"/>
      <c r="L834" s="74">
        <f t="shared" ref="L834:L852" si="460">+K834+J834</f>
        <v>940</v>
      </c>
      <c r="M834" s="74"/>
      <c r="N834" s="74">
        <f t="shared" si="456"/>
        <v>940</v>
      </c>
      <c r="O834" s="74">
        <v>1311</v>
      </c>
      <c r="P834" s="67">
        <v>1260</v>
      </c>
      <c r="Q834" s="87">
        <f t="shared" si="451"/>
        <v>0.34042553191489361</v>
      </c>
      <c r="R834" s="203"/>
    </row>
    <row r="835" spans="1:21" ht="13.5" customHeight="1" x14ac:dyDescent="0.2">
      <c r="A835" s="89"/>
      <c r="B835" s="90">
        <v>5504</v>
      </c>
      <c r="C835" s="72" t="s">
        <v>118</v>
      </c>
      <c r="D835" s="102">
        <v>500</v>
      </c>
      <c r="E835" s="158"/>
      <c r="F835" s="74">
        <f t="shared" si="447"/>
        <v>500</v>
      </c>
      <c r="G835" s="74"/>
      <c r="H835" s="74">
        <f t="shared" si="457"/>
        <v>500</v>
      </c>
      <c r="I835" s="71">
        <v>375</v>
      </c>
      <c r="J835" s="73">
        <v>500</v>
      </c>
      <c r="K835" s="74"/>
      <c r="L835" s="74">
        <f t="shared" si="460"/>
        <v>500</v>
      </c>
      <c r="M835" s="74"/>
      <c r="N835" s="74">
        <f t="shared" si="456"/>
        <v>500</v>
      </c>
      <c r="O835" s="74">
        <v>478</v>
      </c>
      <c r="P835" s="67">
        <v>800</v>
      </c>
      <c r="Q835" s="87">
        <f t="shared" si="451"/>
        <v>0.6</v>
      </c>
      <c r="R835" s="203" t="s">
        <v>905</v>
      </c>
    </row>
    <row r="836" spans="1:21" ht="13.5" customHeight="1" x14ac:dyDescent="0.2">
      <c r="A836" s="89"/>
      <c r="B836" s="90">
        <v>5511</v>
      </c>
      <c r="C836" s="72" t="s">
        <v>222</v>
      </c>
      <c r="D836" s="102">
        <v>22100</v>
      </c>
      <c r="E836" s="158"/>
      <c r="F836" s="74">
        <f t="shared" si="447"/>
        <v>22100</v>
      </c>
      <c r="G836" s="74"/>
      <c r="H836" s="74">
        <f t="shared" si="457"/>
        <v>22100</v>
      </c>
      <c r="I836" s="71">
        <f>SUM(I837:I844)</f>
        <v>17226</v>
      </c>
      <c r="J836" s="73">
        <f>SUM(J837:J844)</f>
        <v>16500</v>
      </c>
      <c r="K836" s="73">
        <f>SUM(K837:K844)</f>
        <v>-2500</v>
      </c>
      <c r="L836" s="74">
        <f>SUM(L837:L844)</f>
        <v>14000</v>
      </c>
      <c r="M836" s="92">
        <f t="shared" ref="M836:O836" si="461">SUM(M837:M844)</f>
        <v>4000</v>
      </c>
      <c r="N836" s="74">
        <f t="shared" si="461"/>
        <v>18000</v>
      </c>
      <c r="O836" s="74">
        <f t="shared" si="461"/>
        <v>16158</v>
      </c>
      <c r="P836" s="67">
        <f t="shared" ref="P836" si="462">SUM(P837:P844)</f>
        <v>25006</v>
      </c>
      <c r="Q836" s="87">
        <f t="shared" si="451"/>
        <v>0.38922222222222225</v>
      </c>
      <c r="R836" s="203"/>
    </row>
    <row r="837" spans="1:21" ht="13.5" customHeight="1" x14ac:dyDescent="0.2">
      <c r="A837" s="89"/>
      <c r="B837" s="90"/>
      <c r="C837" s="154" t="s">
        <v>121</v>
      </c>
      <c r="D837" s="157">
        <v>6500</v>
      </c>
      <c r="E837" s="158"/>
      <c r="F837" s="153">
        <f t="shared" si="447"/>
        <v>6500</v>
      </c>
      <c r="G837" s="153"/>
      <c r="H837" s="153">
        <f t="shared" si="457"/>
        <v>6500</v>
      </c>
      <c r="I837" s="158">
        <v>4847</v>
      </c>
      <c r="J837" s="159">
        <v>7800</v>
      </c>
      <c r="K837" s="153"/>
      <c r="L837" s="153">
        <f t="shared" si="460"/>
        <v>7800</v>
      </c>
      <c r="M837" s="153"/>
      <c r="N837" s="153">
        <f t="shared" si="456"/>
        <v>7800</v>
      </c>
      <c r="O837" s="153">
        <v>5858</v>
      </c>
      <c r="P837" s="155">
        <v>11000</v>
      </c>
      <c r="Q837" s="87">
        <f t="shared" si="451"/>
        <v>0.41025641025641024</v>
      </c>
      <c r="R837" s="203" t="s">
        <v>904</v>
      </c>
    </row>
    <row r="838" spans="1:21" ht="13.5" customHeight="1" x14ac:dyDescent="0.2">
      <c r="A838" s="89"/>
      <c r="B838" s="90"/>
      <c r="C838" s="154" t="s">
        <v>122</v>
      </c>
      <c r="D838" s="157">
        <v>400</v>
      </c>
      <c r="E838" s="158"/>
      <c r="F838" s="153">
        <f t="shared" si="447"/>
        <v>400</v>
      </c>
      <c r="G838" s="153"/>
      <c r="H838" s="153">
        <f t="shared" si="457"/>
        <v>400</v>
      </c>
      <c r="I838" s="158">
        <v>71</v>
      </c>
      <c r="J838" s="159">
        <v>400</v>
      </c>
      <c r="K838" s="153"/>
      <c r="L838" s="153">
        <f t="shared" si="460"/>
        <v>400</v>
      </c>
      <c r="M838" s="153"/>
      <c r="N838" s="153">
        <f t="shared" si="456"/>
        <v>400</v>
      </c>
      <c r="O838" s="153">
        <v>123</v>
      </c>
      <c r="P838" s="155">
        <v>200</v>
      </c>
      <c r="Q838" s="87">
        <f t="shared" si="451"/>
        <v>-0.5</v>
      </c>
      <c r="R838" s="203"/>
    </row>
    <row r="839" spans="1:21" ht="13.5" customHeight="1" x14ac:dyDescent="0.2">
      <c r="A839" s="89"/>
      <c r="B839" s="90"/>
      <c r="C839" s="154" t="s">
        <v>123</v>
      </c>
      <c r="D839" s="157">
        <v>1200</v>
      </c>
      <c r="E839" s="158"/>
      <c r="F839" s="153">
        <f t="shared" si="447"/>
        <v>1200</v>
      </c>
      <c r="G839" s="153"/>
      <c r="H839" s="153">
        <f t="shared" si="457"/>
        <v>1200</v>
      </c>
      <c r="I839" s="158">
        <v>2018</v>
      </c>
      <c r="J839" s="159">
        <v>1200</v>
      </c>
      <c r="K839" s="153"/>
      <c r="L839" s="153">
        <f t="shared" si="460"/>
        <v>1200</v>
      </c>
      <c r="M839" s="153"/>
      <c r="N839" s="153">
        <f t="shared" si="456"/>
        <v>1200</v>
      </c>
      <c r="O839" s="153">
        <v>748</v>
      </c>
      <c r="P839" s="155">
        <v>1000</v>
      </c>
      <c r="Q839" s="87">
        <f t="shared" si="451"/>
        <v>-0.16666666666666666</v>
      </c>
      <c r="R839" s="203"/>
    </row>
    <row r="840" spans="1:21" ht="13.5" customHeight="1" x14ac:dyDescent="0.2">
      <c r="A840" s="89"/>
      <c r="B840" s="90"/>
      <c r="C840" s="154" t="s">
        <v>124</v>
      </c>
      <c r="D840" s="157">
        <v>1000</v>
      </c>
      <c r="E840" s="158"/>
      <c r="F840" s="153">
        <f t="shared" si="447"/>
        <v>1000</v>
      </c>
      <c r="G840" s="153"/>
      <c r="H840" s="153">
        <f t="shared" si="457"/>
        <v>1000</v>
      </c>
      <c r="I840" s="158">
        <v>1946</v>
      </c>
      <c r="J840" s="159">
        <v>1000</v>
      </c>
      <c r="K840" s="153"/>
      <c r="L840" s="153">
        <f t="shared" si="460"/>
        <v>1000</v>
      </c>
      <c r="M840" s="153">
        <v>3000</v>
      </c>
      <c r="N840" s="153">
        <f t="shared" si="456"/>
        <v>4000</v>
      </c>
      <c r="O840" s="153">
        <v>5026</v>
      </c>
      <c r="P840" s="155">
        <v>3800</v>
      </c>
      <c r="Q840" s="87">
        <f t="shared" si="451"/>
        <v>-0.05</v>
      </c>
      <c r="R840" s="203"/>
    </row>
    <row r="841" spans="1:21" ht="13.5" customHeight="1" x14ac:dyDescent="0.2">
      <c r="A841" s="89"/>
      <c r="B841" s="90"/>
      <c r="C841" s="154" t="s">
        <v>125</v>
      </c>
      <c r="D841" s="157">
        <v>400</v>
      </c>
      <c r="E841" s="158"/>
      <c r="F841" s="153">
        <f t="shared" si="447"/>
        <v>400</v>
      </c>
      <c r="G841" s="153"/>
      <c r="H841" s="153">
        <f t="shared" si="457"/>
        <v>400</v>
      </c>
      <c r="I841" s="158">
        <v>204</v>
      </c>
      <c r="J841" s="159">
        <v>500</v>
      </c>
      <c r="K841" s="153"/>
      <c r="L841" s="153">
        <f t="shared" si="460"/>
        <v>500</v>
      </c>
      <c r="M841" s="153"/>
      <c r="N841" s="153">
        <f t="shared" si="456"/>
        <v>500</v>
      </c>
      <c r="O841" s="153">
        <v>263</v>
      </c>
      <c r="P841" s="155">
        <v>600</v>
      </c>
      <c r="Q841" s="87">
        <f t="shared" si="451"/>
        <v>0.2</v>
      </c>
      <c r="R841" s="203"/>
    </row>
    <row r="842" spans="1:21" ht="13.5" customHeight="1" x14ac:dyDescent="0.2">
      <c r="A842" s="89"/>
      <c r="B842" s="90"/>
      <c r="C842" s="154" t="s">
        <v>282</v>
      </c>
      <c r="D842" s="157">
        <v>12000</v>
      </c>
      <c r="E842" s="158"/>
      <c r="F842" s="153">
        <f t="shared" si="447"/>
        <v>12000</v>
      </c>
      <c r="G842" s="153"/>
      <c r="H842" s="153">
        <f t="shared" si="457"/>
        <v>12000</v>
      </c>
      <c r="I842" s="158">
        <v>7568</v>
      </c>
      <c r="J842" s="159">
        <v>5000</v>
      </c>
      <c r="K842" s="153">
        <v>-2500</v>
      </c>
      <c r="L842" s="153">
        <f t="shared" si="460"/>
        <v>2500</v>
      </c>
      <c r="M842" s="153">
        <v>1000</v>
      </c>
      <c r="N842" s="153">
        <f t="shared" si="456"/>
        <v>3500</v>
      </c>
      <c r="O842" s="153">
        <v>3456</v>
      </c>
      <c r="P842" s="155">
        <v>8000</v>
      </c>
      <c r="Q842" s="87">
        <f t="shared" si="451"/>
        <v>1.2857142857142858</v>
      </c>
      <c r="R842" s="203" t="s">
        <v>906</v>
      </c>
    </row>
    <row r="843" spans="1:21" ht="13.5" customHeight="1" x14ac:dyDescent="0.2">
      <c r="A843" s="89"/>
      <c r="B843" s="90"/>
      <c r="C843" s="154" t="s">
        <v>127</v>
      </c>
      <c r="D843" s="157">
        <v>500</v>
      </c>
      <c r="E843" s="158"/>
      <c r="F843" s="153">
        <f t="shared" si="447"/>
        <v>500</v>
      </c>
      <c r="G843" s="153"/>
      <c r="H843" s="153">
        <f t="shared" si="457"/>
        <v>500</v>
      </c>
      <c r="I843" s="158">
        <v>434</v>
      </c>
      <c r="J843" s="159">
        <v>500</v>
      </c>
      <c r="K843" s="153"/>
      <c r="L843" s="153">
        <f t="shared" si="460"/>
        <v>500</v>
      </c>
      <c r="M843" s="153"/>
      <c r="N843" s="153">
        <f t="shared" si="456"/>
        <v>500</v>
      </c>
      <c r="O843" s="153">
        <v>570</v>
      </c>
      <c r="P843" s="155">
        <v>406</v>
      </c>
      <c r="Q843" s="87">
        <f t="shared" si="451"/>
        <v>-0.188</v>
      </c>
      <c r="R843" s="203"/>
    </row>
    <row r="844" spans="1:21" ht="13.5" customHeight="1" x14ac:dyDescent="0.2">
      <c r="A844" s="89"/>
      <c r="B844" s="90"/>
      <c r="C844" s="154" t="s">
        <v>308</v>
      </c>
      <c r="D844" s="157">
        <v>100</v>
      </c>
      <c r="E844" s="158"/>
      <c r="F844" s="153">
        <f t="shared" si="447"/>
        <v>100</v>
      </c>
      <c r="G844" s="153"/>
      <c r="H844" s="153">
        <f t="shared" si="457"/>
        <v>100</v>
      </c>
      <c r="I844" s="158">
        <v>138</v>
      </c>
      <c r="J844" s="159">
        <v>100</v>
      </c>
      <c r="K844" s="153"/>
      <c r="L844" s="153">
        <f t="shared" si="460"/>
        <v>100</v>
      </c>
      <c r="M844" s="153"/>
      <c r="N844" s="153">
        <f t="shared" si="456"/>
        <v>100</v>
      </c>
      <c r="O844" s="153">
        <v>114</v>
      </c>
      <c r="P844" s="155">
        <v>0</v>
      </c>
      <c r="Q844" s="87">
        <f t="shared" si="451"/>
        <v>-1</v>
      </c>
      <c r="R844" s="203"/>
      <c r="U844" s="56" t="s">
        <v>755</v>
      </c>
    </row>
    <row r="845" spans="1:21" ht="13.5" customHeight="1" x14ac:dyDescent="0.2">
      <c r="A845" s="89"/>
      <c r="B845" s="90">
        <v>5512</v>
      </c>
      <c r="C845" s="72" t="s">
        <v>189</v>
      </c>
      <c r="D845" s="102"/>
      <c r="E845" s="71"/>
      <c r="F845" s="74"/>
      <c r="G845" s="74"/>
      <c r="H845" s="74"/>
      <c r="I845" s="71"/>
      <c r="J845" s="73"/>
      <c r="K845" s="74"/>
      <c r="L845" s="74"/>
      <c r="M845" s="74"/>
      <c r="N845" s="74"/>
      <c r="O845" s="74"/>
      <c r="P845" s="67">
        <v>0</v>
      </c>
      <c r="Q845" s="87"/>
      <c r="R845" s="203"/>
    </row>
    <row r="846" spans="1:21" ht="13.5" customHeight="1" x14ac:dyDescent="0.2">
      <c r="A846" s="89"/>
      <c r="B846" s="90">
        <v>5513</v>
      </c>
      <c r="C846" s="72" t="s">
        <v>309</v>
      </c>
      <c r="D846" s="102">
        <v>1000</v>
      </c>
      <c r="E846" s="158"/>
      <c r="F846" s="74">
        <f t="shared" si="447"/>
        <v>1000</v>
      </c>
      <c r="G846" s="74"/>
      <c r="H846" s="74">
        <f t="shared" si="457"/>
        <v>1000</v>
      </c>
      <c r="I846" s="71"/>
      <c r="J846" s="73">
        <v>1000</v>
      </c>
      <c r="K846" s="74"/>
      <c r="L846" s="74">
        <f t="shared" si="460"/>
        <v>1000</v>
      </c>
      <c r="M846" s="74"/>
      <c r="N846" s="74">
        <f t="shared" si="456"/>
        <v>1000</v>
      </c>
      <c r="O846" s="74">
        <v>825</v>
      </c>
      <c r="P846" s="67">
        <v>1200</v>
      </c>
      <c r="Q846" s="87">
        <f t="shared" si="451"/>
        <v>0.2</v>
      </c>
      <c r="R846" s="203"/>
    </row>
    <row r="847" spans="1:21" ht="13.5" customHeight="1" x14ac:dyDescent="0.2">
      <c r="A847" s="89"/>
      <c r="B847" s="90">
        <v>5514</v>
      </c>
      <c r="C847" s="72" t="s">
        <v>297</v>
      </c>
      <c r="D847" s="102">
        <v>600</v>
      </c>
      <c r="E847" s="71"/>
      <c r="F847" s="74">
        <f t="shared" si="447"/>
        <v>600</v>
      </c>
      <c r="G847" s="74"/>
      <c r="H847" s="74">
        <f t="shared" si="457"/>
        <v>600</v>
      </c>
      <c r="I847" s="71"/>
      <c r="J847" s="73">
        <v>1600</v>
      </c>
      <c r="K847" s="74"/>
      <c r="L847" s="74">
        <f t="shared" si="460"/>
        <v>1600</v>
      </c>
      <c r="M847" s="74"/>
      <c r="N847" s="74">
        <f t="shared" si="456"/>
        <v>1600</v>
      </c>
      <c r="O847" s="74">
        <v>1706</v>
      </c>
      <c r="P847" s="67">
        <v>500</v>
      </c>
      <c r="Q847" s="87">
        <f t="shared" si="451"/>
        <v>-0.6875</v>
      </c>
      <c r="R847" s="203" t="s">
        <v>1576</v>
      </c>
    </row>
    <row r="848" spans="1:21" ht="13.5" customHeight="1" x14ac:dyDescent="0.2">
      <c r="A848" s="89"/>
      <c r="B848" s="90">
        <v>5515</v>
      </c>
      <c r="C848" s="72" t="s">
        <v>298</v>
      </c>
      <c r="D848" s="102">
        <v>4000</v>
      </c>
      <c r="E848" s="71"/>
      <c r="F848" s="74">
        <f t="shared" si="447"/>
        <v>4000</v>
      </c>
      <c r="G848" s="74"/>
      <c r="H848" s="74">
        <f t="shared" si="457"/>
        <v>4000</v>
      </c>
      <c r="I848" s="71">
        <v>1094</v>
      </c>
      <c r="J848" s="73">
        <v>3000</v>
      </c>
      <c r="K848" s="74"/>
      <c r="L848" s="74">
        <f t="shared" si="460"/>
        <v>3000</v>
      </c>
      <c r="M848" s="74"/>
      <c r="N848" s="74">
        <f t="shared" si="456"/>
        <v>3000</v>
      </c>
      <c r="O848" s="74">
        <v>826</v>
      </c>
      <c r="P848" s="67">
        <v>8000</v>
      </c>
      <c r="Q848" s="87">
        <f t="shared" si="451"/>
        <v>1.6666666666666667</v>
      </c>
      <c r="R848" s="203" t="s">
        <v>907</v>
      </c>
    </row>
    <row r="849" spans="1:21" ht="13.5" customHeight="1" x14ac:dyDescent="0.2">
      <c r="A849" s="89"/>
      <c r="B849" s="90" t="s">
        <v>134</v>
      </c>
      <c r="C849" s="72" t="s">
        <v>135</v>
      </c>
      <c r="D849" s="102"/>
      <c r="E849" s="71"/>
      <c r="F849" s="74"/>
      <c r="G849" s="74"/>
      <c r="H849" s="74"/>
      <c r="I849" s="71"/>
      <c r="J849" s="73"/>
      <c r="K849" s="74"/>
      <c r="L849" s="74"/>
      <c r="M849" s="74"/>
      <c r="N849" s="74"/>
      <c r="O849" s="74"/>
      <c r="P849" s="67">
        <v>1500</v>
      </c>
      <c r="Q849" s="87">
        <v>1</v>
      </c>
      <c r="R849" s="203" t="s">
        <v>1605</v>
      </c>
    </row>
    <row r="850" spans="1:21" ht="13.5" customHeight="1" x14ac:dyDescent="0.2">
      <c r="A850" s="89"/>
      <c r="B850" s="90">
        <v>5522</v>
      </c>
      <c r="C850" s="72" t="s">
        <v>137</v>
      </c>
      <c r="D850" s="102">
        <v>100</v>
      </c>
      <c r="E850" s="71"/>
      <c r="F850" s="74">
        <f t="shared" si="447"/>
        <v>100</v>
      </c>
      <c r="G850" s="74"/>
      <c r="H850" s="74">
        <f t="shared" si="457"/>
        <v>100</v>
      </c>
      <c r="I850" s="71">
        <v>566</v>
      </c>
      <c r="J850" s="73">
        <v>300</v>
      </c>
      <c r="K850" s="74"/>
      <c r="L850" s="74">
        <f t="shared" si="460"/>
        <v>300</v>
      </c>
      <c r="M850" s="74"/>
      <c r="N850" s="74">
        <f t="shared" ref="N850:N852" si="463">+M850+L850</f>
        <v>300</v>
      </c>
      <c r="O850" s="74"/>
      <c r="P850" s="67">
        <v>100</v>
      </c>
      <c r="Q850" s="87">
        <f t="shared" si="451"/>
        <v>-0.66666666666666663</v>
      </c>
      <c r="R850" s="203"/>
    </row>
    <row r="851" spans="1:21" ht="13.5" customHeight="1" x14ac:dyDescent="0.2">
      <c r="A851" s="89"/>
      <c r="B851" s="90">
        <v>5525</v>
      </c>
      <c r="C851" s="72" t="s">
        <v>299</v>
      </c>
      <c r="D851" s="102">
        <v>11000</v>
      </c>
      <c r="E851" s="71"/>
      <c r="F851" s="74">
        <f t="shared" si="447"/>
        <v>11000</v>
      </c>
      <c r="G851" s="74"/>
      <c r="H851" s="74">
        <f t="shared" si="457"/>
        <v>11000</v>
      </c>
      <c r="I851" s="71">
        <v>10137</v>
      </c>
      <c r="J851" s="73">
        <v>12000</v>
      </c>
      <c r="K851" s="74">
        <v>-4300</v>
      </c>
      <c r="L851" s="74">
        <f t="shared" si="460"/>
        <v>7700</v>
      </c>
      <c r="M851" s="92">
        <v>5000</v>
      </c>
      <c r="N851" s="74">
        <f t="shared" si="463"/>
        <v>12700</v>
      </c>
      <c r="O851" s="74">
        <v>9688</v>
      </c>
      <c r="P851" s="67">
        <v>15000</v>
      </c>
      <c r="Q851" s="87">
        <f t="shared" si="451"/>
        <v>0.18110236220472442</v>
      </c>
      <c r="R851" s="214" t="s">
        <v>909</v>
      </c>
      <c r="S851" s="215"/>
      <c r="T851" s="216">
        <f>2000/16000</f>
        <v>0.125</v>
      </c>
      <c r="U851" s="56" t="s">
        <v>910</v>
      </c>
    </row>
    <row r="852" spans="1:21" ht="13.5" customHeight="1" x14ac:dyDescent="0.2">
      <c r="A852" s="89"/>
      <c r="B852" s="90">
        <v>5540</v>
      </c>
      <c r="C852" s="72" t="s">
        <v>256</v>
      </c>
      <c r="D852" s="102">
        <v>0</v>
      </c>
      <c r="E852" s="71"/>
      <c r="F852" s="74">
        <f t="shared" si="447"/>
        <v>0</v>
      </c>
      <c r="G852" s="74"/>
      <c r="H852" s="74">
        <f t="shared" si="457"/>
        <v>0</v>
      </c>
      <c r="I852" s="71"/>
      <c r="J852" s="73"/>
      <c r="K852" s="74"/>
      <c r="L852" s="74">
        <f t="shared" si="460"/>
        <v>0</v>
      </c>
      <c r="M852" s="74"/>
      <c r="N852" s="74">
        <f t="shared" si="463"/>
        <v>0</v>
      </c>
      <c r="O852" s="74"/>
      <c r="P852" s="67">
        <v>1200</v>
      </c>
      <c r="Q852" s="87">
        <v>1</v>
      </c>
      <c r="R852" s="203" t="s">
        <v>908</v>
      </c>
    </row>
    <row r="853" spans="1:21" ht="13.5" customHeight="1" x14ac:dyDescent="0.2">
      <c r="A853" s="146" t="s">
        <v>310</v>
      </c>
      <c r="B853" s="147"/>
      <c r="C853" s="148" t="s">
        <v>311</v>
      </c>
      <c r="D853" s="149">
        <v>70951</v>
      </c>
      <c r="E853" s="150"/>
      <c r="F853" s="137">
        <f t="shared" si="447"/>
        <v>70951</v>
      </c>
      <c r="G853" s="137">
        <v>0</v>
      </c>
      <c r="H853" s="137">
        <f>+H854+H855</f>
        <v>70951</v>
      </c>
      <c r="I853" s="151">
        <f>+I854+I855</f>
        <v>51517</v>
      </c>
      <c r="J853" s="152">
        <f>+J854+J855</f>
        <v>68963</v>
      </c>
      <c r="K853" s="152">
        <f>+K854+K855</f>
        <v>-1000</v>
      </c>
      <c r="L853" s="152">
        <f>+L854+L855</f>
        <v>67963</v>
      </c>
      <c r="M853" s="152">
        <f t="shared" ref="M853:N853" si="464">+M854+M855</f>
        <v>3000</v>
      </c>
      <c r="N853" s="152">
        <f t="shared" si="464"/>
        <v>70963</v>
      </c>
      <c r="O853" s="152">
        <f t="shared" ref="O853:P853" si="465">+O854+O855</f>
        <v>50981</v>
      </c>
      <c r="P853" s="152">
        <f t="shared" si="465"/>
        <v>88542</v>
      </c>
      <c r="Q853" s="87">
        <f t="shared" si="451"/>
        <v>0.24772064315206516</v>
      </c>
      <c r="R853" s="203" t="s">
        <v>911</v>
      </c>
    </row>
    <row r="854" spans="1:21" ht="13.5" customHeight="1" x14ac:dyDescent="0.2">
      <c r="A854" s="89"/>
      <c r="B854" s="95" t="s">
        <v>101</v>
      </c>
      <c r="C854" s="96" t="s">
        <v>102</v>
      </c>
      <c r="D854" s="43">
        <v>34401</v>
      </c>
      <c r="E854" s="71"/>
      <c r="F854" s="98">
        <f t="shared" si="447"/>
        <v>34401</v>
      </c>
      <c r="G854" s="98"/>
      <c r="H854" s="98">
        <f>+G854+F854</f>
        <v>34401</v>
      </c>
      <c r="I854" s="97">
        <v>24337</v>
      </c>
      <c r="J854" s="99">
        <v>38423</v>
      </c>
      <c r="K854" s="98">
        <v>2000</v>
      </c>
      <c r="L854" s="182">
        <f>+K854+J854</f>
        <v>40423</v>
      </c>
      <c r="M854" s="182"/>
      <c r="N854" s="182">
        <f t="shared" ref="N854" si="466">+M854+L854</f>
        <v>40423</v>
      </c>
      <c r="O854" s="182">
        <v>30725</v>
      </c>
      <c r="P854" s="78">
        <v>45222</v>
      </c>
      <c r="Q854" s="87">
        <f t="shared" si="451"/>
        <v>0.11871954085545358</v>
      </c>
      <c r="R854" s="203" t="s">
        <v>1449</v>
      </c>
    </row>
    <row r="855" spans="1:21" ht="13.5" customHeight="1" x14ac:dyDescent="0.2">
      <c r="A855" s="89"/>
      <c r="B855" s="95" t="s">
        <v>103</v>
      </c>
      <c r="C855" s="96" t="s">
        <v>104</v>
      </c>
      <c r="D855" s="43">
        <v>36550</v>
      </c>
      <c r="E855" s="71"/>
      <c r="F855" s="98">
        <f t="shared" si="447"/>
        <v>36550</v>
      </c>
      <c r="G855" s="98"/>
      <c r="H855" s="98">
        <f t="shared" ref="H855:H874" si="467">+G855+F855</f>
        <v>36550</v>
      </c>
      <c r="I855" s="97">
        <f>+I856+I857+I858+I869+I870+I871+I872+I873+I874</f>
        <v>27180</v>
      </c>
      <c r="J855" s="99">
        <f>+J856+J857+J858+J869+J870+J871+J872+J873+J874</f>
        <v>30540</v>
      </c>
      <c r="K855" s="99">
        <f>+K856+K857+K858+K869+K870+K871+K872+K873+K874</f>
        <v>-3000</v>
      </c>
      <c r="L855" s="170">
        <f>+L856+L857+L858+L869+L870+L871+L872+L873+L874</f>
        <v>27540</v>
      </c>
      <c r="M855" s="170">
        <f t="shared" ref="M855:N855" si="468">+M856+M857+M858+M869+M870+M871+M872+M873+M874</f>
        <v>3000</v>
      </c>
      <c r="N855" s="170">
        <f t="shared" si="468"/>
        <v>30540</v>
      </c>
      <c r="O855" s="170">
        <f t="shared" ref="O855" si="469">+O856+O857+O858+O869+O870+O871+O872+O873+O874</f>
        <v>20256</v>
      </c>
      <c r="P855" s="170">
        <f>+P856+P857+P858+P869+P870+P871+P872+P873+P874+P868</f>
        <v>43320</v>
      </c>
      <c r="Q855" s="87">
        <f t="shared" si="451"/>
        <v>0.41846758349705304</v>
      </c>
    </row>
    <row r="856" spans="1:21" ht="13.5" customHeight="1" x14ac:dyDescent="0.2">
      <c r="A856" s="89"/>
      <c r="B856" s="90">
        <v>5500</v>
      </c>
      <c r="C856" s="72" t="s">
        <v>180</v>
      </c>
      <c r="D856" s="102">
        <v>1820</v>
      </c>
      <c r="E856" s="71"/>
      <c r="F856" s="74">
        <f t="shared" si="447"/>
        <v>1820</v>
      </c>
      <c r="G856" s="74"/>
      <c r="H856" s="74">
        <f t="shared" si="467"/>
        <v>1820</v>
      </c>
      <c r="I856" s="71">
        <v>171</v>
      </c>
      <c r="J856" s="73">
        <v>1870</v>
      </c>
      <c r="K856" s="74"/>
      <c r="L856" s="74">
        <v>1870</v>
      </c>
      <c r="M856" s="74"/>
      <c r="N856" s="74">
        <f>+L856+M856</f>
        <v>1870</v>
      </c>
      <c r="O856" s="74">
        <v>437</v>
      </c>
      <c r="P856" s="67">
        <v>1800</v>
      </c>
      <c r="Q856" s="87">
        <f t="shared" si="451"/>
        <v>-3.7433155080213901E-2</v>
      </c>
      <c r="R856" s="204"/>
    </row>
    <row r="857" spans="1:21" ht="13.5" customHeight="1" x14ac:dyDescent="0.2">
      <c r="A857" s="89"/>
      <c r="B857" s="90">
        <v>5504</v>
      </c>
      <c r="C857" s="72" t="s">
        <v>118</v>
      </c>
      <c r="D857" s="102">
        <v>300</v>
      </c>
      <c r="E857" s="71"/>
      <c r="F857" s="74">
        <f t="shared" si="447"/>
        <v>300</v>
      </c>
      <c r="G857" s="74"/>
      <c r="H857" s="74">
        <f t="shared" si="467"/>
        <v>300</v>
      </c>
      <c r="I857" s="71">
        <v>0</v>
      </c>
      <c r="J857" s="73">
        <v>300</v>
      </c>
      <c r="K857" s="74"/>
      <c r="L857" s="74">
        <v>300</v>
      </c>
      <c r="M857" s="74"/>
      <c r="N857" s="74">
        <f>+L857+M857</f>
        <v>300</v>
      </c>
      <c r="O857" s="74">
        <v>250</v>
      </c>
      <c r="P857" s="67">
        <v>400</v>
      </c>
      <c r="Q857" s="87">
        <f t="shared" si="451"/>
        <v>0.33333333333333331</v>
      </c>
      <c r="R857" s="204"/>
    </row>
    <row r="858" spans="1:21" ht="13.5" customHeight="1" x14ac:dyDescent="0.2">
      <c r="A858" s="89"/>
      <c r="B858" s="90">
        <v>5511</v>
      </c>
      <c r="C858" s="72" t="s">
        <v>222</v>
      </c>
      <c r="D858" s="102">
        <v>18470</v>
      </c>
      <c r="E858" s="71"/>
      <c r="F858" s="74">
        <f t="shared" si="447"/>
        <v>18470</v>
      </c>
      <c r="G858" s="74"/>
      <c r="H858" s="74">
        <f t="shared" si="467"/>
        <v>18470</v>
      </c>
      <c r="I858" s="71">
        <f>SUM(I859:I867)</f>
        <v>17806</v>
      </c>
      <c r="J858" s="73">
        <f>SUM(J859:J867)</f>
        <v>10570</v>
      </c>
      <c r="K858" s="74"/>
      <c r="L858" s="74">
        <f>SUM(L859:L867)</f>
        <v>10570</v>
      </c>
      <c r="M858" s="74">
        <f t="shared" ref="M858:O858" si="470">SUM(M859:M867)</f>
        <v>0</v>
      </c>
      <c r="N858" s="74">
        <f t="shared" si="470"/>
        <v>10570</v>
      </c>
      <c r="O858" s="74">
        <f t="shared" si="470"/>
        <v>8304</v>
      </c>
      <c r="P858" s="67">
        <f t="shared" ref="P858" si="471">SUM(P859:P867)</f>
        <v>12520</v>
      </c>
      <c r="Q858" s="87">
        <f t="shared" si="451"/>
        <v>0.18448438978240303</v>
      </c>
      <c r="R858" s="203"/>
    </row>
    <row r="859" spans="1:21" ht="14.1" customHeight="1" x14ac:dyDescent="0.2">
      <c r="A859" s="184"/>
      <c r="B859" s="185"/>
      <c r="C859" s="154" t="s">
        <v>120</v>
      </c>
      <c r="D859" s="157">
        <v>0</v>
      </c>
      <c r="E859" s="158"/>
      <c r="F859" s="153">
        <f t="shared" si="447"/>
        <v>0</v>
      </c>
      <c r="G859" s="153"/>
      <c r="H859" s="153">
        <f t="shared" si="467"/>
        <v>0</v>
      </c>
      <c r="I859" s="158"/>
      <c r="J859" s="159"/>
      <c r="K859" s="153"/>
      <c r="L859" s="153"/>
      <c r="M859" s="153"/>
      <c r="N859" s="153">
        <f>+L859+M859</f>
        <v>0</v>
      </c>
      <c r="O859" s="153"/>
      <c r="P859" s="155">
        <f>+M859+N859</f>
        <v>0</v>
      </c>
      <c r="Q859" s="87" t="e">
        <f t="shared" si="451"/>
        <v>#DIV/0!</v>
      </c>
      <c r="R859" s="203" t="s">
        <v>912</v>
      </c>
      <c r="U859" s="108" t="s">
        <v>913</v>
      </c>
    </row>
    <row r="860" spans="1:21" ht="13.5" customHeight="1" x14ac:dyDescent="0.2">
      <c r="A860" s="184"/>
      <c r="B860" s="185"/>
      <c r="C860" s="154" t="s">
        <v>121</v>
      </c>
      <c r="D860" s="157">
        <v>2000</v>
      </c>
      <c r="E860" s="158"/>
      <c r="F860" s="153">
        <f t="shared" si="447"/>
        <v>2000</v>
      </c>
      <c r="G860" s="153"/>
      <c r="H860" s="153">
        <f t="shared" si="467"/>
        <v>2000</v>
      </c>
      <c r="I860" s="158">
        <v>2559</v>
      </c>
      <c r="J860" s="159">
        <v>4000</v>
      </c>
      <c r="K860" s="153"/>
      <c r="L860" s="153">
        <v>4000</v>
      </c>
      <c r="M860" s="153"/>
      <c r="N860" s="153">
        <f t="shared" ref="N860:N867" si="472">+L860+M860</f>
        <v>4000</v>
      </c>
      <c r="O860" s="153">
        <v>3638</v>
      </c>
      <c r="P860" s="155">
        <v>6000</v>
      </c>
      <c r="Q860" s="87">
        <f t="shared" si="451"/>
        <v>0.5</v>
      </c>
      <c r="R860" s="203"/>
    </row>
    <row r="861" spans="1:21" ht="13.5" customHeight="1" x14ac:dyDescent="0.2">
      <c r="A861" s="184"/>
      <c r="B861" s="185"/>
      <c r="C861" s="154" t="s">
        <v>122</v>
      </c>
      <c r="D861" s="157">
        <v>400</v>
      </c>
      <c r="E861" s="158"/>
      <c r="F861" s="153">
        <f t="shared" ref="F861:F895" si="473">+E861+D861</f>
        <v>400</v>
      </c>
      <c r="G861" s="153"/>
      <c r="H861" s="153">
        <f t="shared" si="467"/>
        <v>400</v>
      </c>
      <c r="I861" s="158">
        <v>185</v>
      </c>
      <c r="J861" s="159">
        <v>450</v>
      </c>
      <c r="K861" s="153"/>
      <c r="L861" s="153">
        <v>450</v>
      </c>
      <c r="M861" s="153"/>
      <c r="N861" s="153">
        <f t="shared" si="472"/>
        <v>450</v>
      </c>
      <c r="O861" s="153">
        <v>194</v>
      </c>
      <c r="P861" s="155">
        <v>300</v>
      </c>
      <c r="Q861" s="87">
        <f t="shared" si="451"/>
        <v>-0.33333333333333331</v>
      </c>
      <c r="R861" s="203"/>
    </row>
    <row r="862" spans="1:21" ht="13.5" customHeight="1" x14ac:dyDescent="0.2">
      <c r="A862" s="184"/>
      <c r="B862" s="185"/>
      <c r="C862" s="154" t="s">
        <v>123</v>
      </c>
      <c r="D862" s="157">
        <v>600</v>
      </c>
      <c r="E862" s="158"/>
      <c r="F862" s="153">
        <f t="shared" si="473"/>
        <v>600</v>
      </c>
      <c r="G862" s="153"/>
      <c r="H862" s="153">
        <f t="shared" si="467"/>
        <v>600</v>
      </c>
      <c r="I862" s="158">
        <v>319</v>
      </c>
      <c r="J862" s="159">
        <v>700</v>
      </c>
      <c r="K862" s="153"/>
      <c r="L862" s="153">
        <v>700</v>
      </c>
      <c r="M862" s="153"/>
      <c r="N862" s="153">
        <f t="shared" si="472"/>
        <v>700</v>
      </c>
      <c r="O862" s="153">
        <v>590</v>
      </c>
      <c r="P862" s="155">
        <v>500</v>
      </c>
      <c r="Q862" s="87">
        <f t="shared" si="451"/>
        <v>-0.2857142857142857</v>
      </c>
      <c r="R862" s="203"/>
    </row>
    <row r="863" spans="1:21" ht="13.5" customHeight="1" x14ac:dyDescent="0.2">
      <c r="A863" s="184"/>
      <c r="B863" s="185"/>
      <c r="C863" s="154" t="s">
        <v>124</v>
      </c>
      <c r="D863" s="157">
        <v>250</v>
      </c>
      <c r="E863" s="158"/>
      <c r="F863" s="153">
        <f t="shared" si="473"/>
        <v>250</v>
      </c>
      <c r="G863" s="153"/>
      <c r="H863" s="153">
        <f t="shared" si="467"/>
        <v>250</v>
      </c>
      <c r="I863" s="158">
        <v>72</v>
      </c>
      <c r="J863" s="159">
        <v>300</v>
      </c>
      <c r="K863" s="153"/>
      <c r="L863" s="153">
        <v>300</v>
      </c>
      <c r="M863" s="153"/>
      <c r="N863" s="153">
        <f t="shared" si="472"/>
        <v>300</v>
      </c>
      <c r="O863" s="153">
        <v>4</v>
      </c>
      <c r="P863" s="155">
        <v>500</v>
      </c>
      <c r="Q863" s="87">
        <f t="shared" si="451"/>
        <v>0.66666666666666663</v>
      </c>
      <c r="R863" s="203"/>
    </row>
    <row r="864" spans="1:21" ht="13.5" customHeight="1" x14ac:dyDescent="0.2">
      <c r="A864" s="184"/>
      <c r="B864" s="185"/>
      <c r="C864" s="154" t="s">
        <v>125</v>
      </c>
      <c r="D864" s="157">
        <v>700</v>
      </c>
      <c r="E864" s="158"/>
      <c r="F864" s="153">
        <f t="shared" si="473"/>
        <v>700</v>
      </c>
      <c r="G864" s="153"/>
      <c r="H864" s="153">
        <f t="shared" si="467"/>
        <v>700</v>
      </c>
      <c r="I864" s="158">
        <v>447</v>
      </c>
      <c r="J864" s="159">
        <v>700</v>
      </c>
      <c r="K864" s="153"/>
      <c r="L864" s="153">
        <v>700</v>
      </c>
      <c r="M864" s="153"/>
      <c r="N864" s="153">
        <f t="shared" si="472"/>
        <v>700</v>
      </c>
      <c r="O864" s="153">
        <v>563</v>
      </c>
      <c r="P864" s="155">
        <v>800</v>
      </c>
      <c r="Q864" s="87">
        <f t="shared" si="451"/>
        <v>0.14285714285714285</v>
      </c>
      <c r="R864" s="203"/>
    </row>
    <row r="865" spans="1:21" ht="13.5" customHeight="1" x14ac:dyDescent="0.2">
      <c r="A865" s="184"/>
      <c r="B865" s="185"/>
      <c r="C865" s="154" t="s">
        <v>282</v>
      </c>
      <c r="D865" s="157">
        <v>10000</v>
      </c>
      <c r="E865" s="158"/>
      <c r="F865" s="153">
        <f t="shared" si="473"/>
        <v>10000</v>
      </c>
      <c r="G865" s="153"/>
      <c r="H865" s="153">
        <f t="shared" si="467"/>
        <v>10000</v>
      </c>
      <c r="I865" s="158">
        <v>10984</v>
      </c>
      <c r="J865" s="159">
        <v>0</v>
      </c>
      <c r="K865" s="153"/>
      <c r="L865" s="153">
        <v>0</v>
      </c>
      <c r="M865" s="153"/>
      <c r="N865" s="153">
        <f t="shared" si="472"/>
        <v>0</v>
      </c>
      <c r="O865" s="153">
        <v>75</v>
      </c>
      <c r="P865" s="217">
        <v>100</v>
      </c>
      <c r="Q865" s="218" t="e">
        <f t="shared" si="451"/>
        <v>#DIV/0!</v>
      </c>
      <c r="R865" s="206" t="s">
        <v>1412</v>
      </c>
    </row>
    <row r="866" spans="1:21" ht="13.5" customHeight="1" x14ac:dyDescent="0.2">
      <c r="A866" s="184"/>
      <c r="B866" s="185"/>
      <c r="C866" s="154" t="s">
        <v>290</v>
      </c>
      <c r="D866" s="157">
        <v>4320</v>
      </c>
      <c r="E866" s="158"/>
      <c r="F866" s="153">
        <f t="shared" si="473"/>
        <v>4320</v>
      </c>
      <c r="G866" s="153"/>
      <c r="H866" s="153">
        <f t="shared" si="467"/>
        <v>4320</v>
      </c>
      <c r="I866" s="158">
        <v>3240</v>
      </c>
      <c r="J866" s="159">
        <v>4320</v>
      </c>
      <c r="K866" s="153"/>
      <c r="L866" s="153">
        <v>4320</v>
      </c>
      <c r="M866" s="153"/>
      <c r="N866" s="153">
        <f t="shared" si="472"/>
        <v>4320</v>
      </c>
      <c r="O866" s="153">
        <v>3240</v>
      </c>
      <c r="P866" s="155">
        <f>+M866+N866</f>
        <v>4320</v>
      </c>
      <c r="Q866" s="87">
        <f t="shared" si="451"/>
        <v>0</v>
      </c>
      <c r="R866" s="206" t="s">
        <v>915</v>
      </c>
    </row>
    <row r="867" spans="1:21" ht="13.5" customHeight="1" x14ac:dyDescent="0.2">
      <c r="A867" s="184"/>
      <c r="B867" s="185"/>
      <c r="C867" s="154" t="s">
        <v>308</v>
      </c>
      <c r="D867" s="157">
        <v>200</v>
      </c>
      <c r="E867" s="158"/>
      <c r="F867" s="153">
        <f t="shared" si="473"/>
        <v>200</v>
      </c>
      <c r="G867" s="153"/>
      <c r="H867" s="153">
        <f t="shared" si="467"/>
        <v>200</v>
      </c>
      <c r="I867" s="158"/>
      <c r="J867" s="159">
        <v>100</v>
      </c>
      <c r="K867" s="153"/>
      <c r="L867" s="153">
        <v>100</v>
      </c>
      <c r="M867" s="153"/>
      <c r="N867" s="153">
        <f t="shared" si="472"/>
        <v>100</v>
      </c>
      <c r="O867" s="153"/>
      <c r="P867" s="155">
        <v>0</v>
      </c>
      <c r="Q867" s="87">
        <f t="shared" si="451"/>
        <v>-1</v>
      </c>
      <c r="R867" s="204"/>
    </row>
    <row r="868" spans="1:21" ht="13.5" customHeight="1" x14ac:dyDescent="0.2">
      <c r="A868" s="184"/>
      <c r="B868" s="90">
        <v>5512</v>
      </c>
      <c r="C868" s="72" t="s">
        <v>189</v>
      </c>
      <c r="D868" s="157"/>
      <c r="E868" s="158"/>
      <c r="F868" s="153"/>
      <c r="G868" s="153"/>
      <c r="H868" s="153"/>
      <c r="I868" s="158"/>
      <c r="J868" s="159"/>
      <c r="K868" s="153"/>
      <c r="L868" s="153"/>
      <c r="M868" s="153"/>
      <c r="N868" s="153"/>
      <c r="O868" s="153"/>
      <c r="P868" s="67">
        <v>200</v>
      </c>
      <c r="Q868" s="87">
        <v>1</v>
      </c>
      <c r="R868" s="203" t="s">
        <v>914</v>
      </c>
    </row>
    <row r="869" spans="1:21" ht="13.5" customHeight="1" x14ac:dyDescent="0.2">
      <c r="A869" s="89"/>
      <c r="B869" s="90">
        <v>5513</v>
      </c>
      <c r="C869" s="72" t="s">
        <v>243</v>
      </c>
      <c r="D869" s="102">
        <v>500</v>
      </c>
      <c r="E869" s="71"/>
      <c r="F869" s="74">
        <f t="shared" si="473"/>
        <v>500</v>
      </c>
      <c r="G869" s="74"/>
      <c r="H869" s="74">
        <f t="shared" si="467"/>
        <v>500</v>
      </c>
      <c r="I869" s="71">
        <v>25</v>
      </c>
      <c r="J869" s="73">
        <v>400</v>
      </c>
      <c r="K869" s="74"/>
      <c r="L869" s="74">
        <f>+K869+J869</f>
        <v>400</v>
      </c>
      <c r="M869" s="74"/>
      <c r="N869" s="74">
        <f t="shared" ref="N869:N874" si="474">+M869+L869</f>
        <v>400</v>
      </c>
      <c r="O869" s="74">
        <v>58</v>
      </c>
      <c r="P869" s="67">
        <v>200</v>
      </c>
      <c r="Q869" s="87">
        <f t="shared" si="451"/>
        <v>-0.5</v>
      </c>
      <c r="R869" s="204"/>
    </row>
    <row r="870" spans="1:21" ht="13.5" customHeight="1" x14ac:dyDescent="0.2">
      <c r="A870" s="89"/>
      <c r="B870" s="90">
        <v>5514</v>
      </c>
      <c r="C870" s="72" t="s">
        <v>297</v>
      </c>
      <c r="D870" s="102">
        <v>900</v>
      </c>
      <c r="E870" s="71"/>
      <c r="F870" s="74">
        <f t="shared" si="473"/>
        <v>900</v>
      </c>
      <c r="G870" s="74"/>
      <c r="H870" s="74">
        <f t="shared" si="467"/>
        <v>900</v>
      </c>
      <c r="I870" s="71">
        <v>695</v>
      </c>
      <c r="J870" s="73">
        <v>900</v>
      </c>
      <c r="K870" s="74"/>
      <c r="L870" s="74">
        <f t="shared" ref="L870:L874" si="475">+K870+J870</f>
        <v>900</v>
      </c>
      <c r="M870" s="74"/>
      <c r="N870" s="74">
        <f t="shared" si="474"/>
        <v>900</v>
      </c>
      <c r="O870" s="74">
        <v>515</v>
      </c>
      <c r="P870" s="67">
        <v>1000</v>
      </c>
      <c r="Q870" s="87">
        <f t="shared" si="451"/>
        <v>0.1111111111111111</v>
      </c>
      <c r="R870" s="204" t="s">
        <v>916</v>
      </c>
    </row>
    <row r="871" spans="1:21" ht="13.5" customHeight="1" x14ac:dyDescent="0.2">
      <c r="A871" s="89"/>
      <c r="B871" s="90">
        <v>5515</v>
      </c>
      <c r="C871" s="72" t="s">
        <v>298</v>
      </c>
      <c r="D871" s="102">
        <v>1360</v>
      </c>
      <c r="E871" s="71"/>
      <c r="F871" s="74">
        <f t="shared" si="473"/>
        <v>1360</v>
      </c>
      <c r="G871" s="74"/>
      <c r="H871" s="74">
        <f t="shared" si="467"/>
        <v>1360</v>
      </c>
      <c r="I871" s="71">
        <v>0</v>
      </c>
      <c r="J871" s="73">
        <v>2800</v>
      </c>
      <c r="K871" s="74"/>
      <c r="L871" s="74">
        <f t="shared" si="475"/>
        <v>2800</v>
      </c>
      <c r="M871" s="74"/>
      <c r="N871" s="74">
        <f t="shared" si="474"/>
        <v>2800</v>
      </c>
      <c r="O871" s="74">
        <v>175</v>
      </c>
      <c r="P871" s="67">
        <v>9800</v>
      </c>
      <c r="Q871" s="87">
        <f t="shared" si="451"/>
        <v>2.5</v>
      </c>
      <c r="R871" s="203" t="s">
        <v>917</v>
      </c>
    </row>
    <row r="872" spans="1:21" ht="13.5" customHeight="1" x14ac:dyDescent="0.2">
      <c r="A872" s="89"/>
      <c r="B872" s="90">
        <v>5522</v>
      </c>
      <c r="C872" s="72" t="s">
        <v>302</v>
      </c>
      <c r="D872" s="102">
        <v>200</v>
      </c>
      <c r="E872" s="71"/>
      <c r="F872" s="74">
        <f t="shared" si="473"/>
        <v>200</v>
      </c>
      <c r="G872" s="74"/>
      <c r="H872" s="74">
        <f t="shared" si="467"/>
        <v>200</v>
      </c>
      <c r="I872" s="71">
        <v>312</v>
      </c>
      <c r="J872" s="73">
        <v>300</v>
      </c>
      <c r="K872" s="74"/>
      <c r="L872" s="74">
        <f t="shared" si="475"/>
        <v>300</v>
      </c>
      <c r="M872" s="74"/>
      <c r="N872" s="74">
        <f t="shared" si="474"/>
        <v>300</v>
      </c>
      <c r="O872" s="74"/>
      <c r="P872" s="67">
        <v>400</v>
      </c>
      <c r="Q872" s="87">
        <f t="shared" si="451"/>
        <v>0.33333333333333331</v>
      </c>
      <c r="R872" s="204"/>
    </row>
    <row r="873" spans="1:21" ht="13.5" customHeight="1" x14ac:dyDescent="0.2">
      <c r="A873" s="89"/>
      <c r="B873" s="90">
        <v>5525</v>
      </c>
      <c r="C873" s="72" t="s">
        <v>299</v>
      </c>
      <c r="D873" s="102">
        <v>11000</v>
      </c>
      <c r="E873" s="71"/>
      <c r="F873" s="74">
        <f t="shared" si="473"/>
        <v>11000</v>
      </c>
      <c r="G873" s="74"/>
      <c r="H873" s="74">
        <f t="shared" si="467"/>
        <v>11000</v>
      </c>
      <c r="I873" s="71">
        <v>8119</v>
      </c>
      <c r="J873" s="73">
        <v>12000</v>
      </c>
      <c r="K873" s="74">
        <v>-3000</v>
      </c>
      <c r="L873" s="74">
        <f t="shared" si="475"/>
        <v>9000</v>
      </c>
      <c r="M873" s="92">
        <v>3000</v>
      </c>
      <c r="N873" s="74">
        <f t="shared" si="474"/>
        <v>12000</v>
      </c>
      <c r="O873" s="74">
        <v>9861</v>
      </c>
      <c r="P873" s="67">
        <v>15000</v>
      </c>
      <c r="Q873" s="87">
        <f t="shared" si="451"/>
        <v>0.25</v>
      </c>
      <c r="R873" s="214" t="s">
        <v>1413</v>
      </c>
      <c r="S873" s="215"/>
      <c r="T873" s="216">
        <f>0.213197969543147*100%</f>
        <v>0.21319796954314699</v>
      </c>
      <c r="U873" s="56" t="s">
        <v>918</v>
      </c>
    </row>
    <row r="874" spans="1:21" ht="13.5" customHeight="1" x14ac:dyDescent="0.2">
      <c r="A874" s="89"/>
      <c r="B874" s="90">
        <v>5540</v>
      </c>
      <c r="C874" s="72" t="s">
        <v>193</v>
      </c>
      <c r="D874" s="102">
        <v>2000</v>
      </c>
      <c r="E874" s="71"/>
      <c r="F874" s="74">
        <f t="shared" si="473"/>
        <v>2000</v>
      </c>
      <c r="G874" s="74"/>
      <c r="H874" s="74">
        <f t="shared" si="467"/>
        <v>2000</v>
      </c>
      <c r="I874" s="71">
        <v>52</v>
      </c>
      <c r="J874" s="73">
        <v>1400</v>
      </c>
      <c r="K874" s="74"/>
      <c r="L874" s="74">
        <f t="shared" si="475"/>
        <v>1400</v>
      </c>
      <c r="M874" s="74"/>
      <c r="N874" s="74">
        <f t="shared" si="474"/>
        <v>1400</v>
      </c>
      <c r="O874" s="74">
        <v>656</v>
      </c>
      <c r="P874" s="67">
        <v>2000</v>
      </c>
      <c r="Q874" s="87">
        <f t="shared" si="451"/>
        <v>0.42857142857142855</v>
      </c>
      <c r="R874" s="203"/>
    </row>
    <row r="875" spans="1:21" ht="13.5" customHeight="1" x14ac:dyDescent="0.2">
      <c r="A875" s="146" t="s">
        <v>312</v>
      </c>
      <c r="B875" s="147"/>
      <c r="C875" s="148" t="s">
        <v>313</v>
      </c>
      <c r="D875" s="149">
        <v>138995</v>
      </c>
      <c r="E875" s="151">
        <f>+E876+E877</f>
        <v>400</v>
      </c>
      <c r="F875" s="137">
        <f t="shared" si="473"/>
        <v>139395</v>
      </c>
      <c r="G875" s="137">
        <v>0</v>
      </c>
      <c r="H875" s="137">
        <f>+H876+H877</f>
        <v>139395</v>
      </c>
      <c r="I875" s="151">
        <f>+I876+I877</f>
        <v>101360</v>
      </c>
      <c r="J875" s="152">
        <f>+J876+J877</f>
        <v>143257</v>
      </c>
      <c r="K875" s="152">
        <f t="shared" ref="K875:L875" si="476">+K876+K877</f>
        <v>-12500</v>
      </c>
      <c r="L875" s="152">
        <f t="shared" si="476"/>
        <v>130757</v>
      </c>
      <c r="M875" s="152">
        <f t="shared" ref="M875:N875" si="477">+M876+M877</f>
        <v>19650</v>
      </c>
      <c r="N875" s="152">
        <f t="shared" si="477"/>
        <v>150407</v>
      </c>
      <c r="O875" s="152">
        <f t="shared" ref="O875:P875" si="478">+O876+O877</f>
        <v>110818</v>
      </c>
      <c r="P875" s="152">
        <f t="shared" si="478"/>
        <v>191402</v>
      </c>
      <c r="Q875" s="87">
        <f t="shared" si="451"/>
        <v>0.27256045263850753</v>
      </c>
      <c r="R875" s="203" t="s">
        <v>919</v>
      </c>
    </row>
    <row r="876" spans="1:21" ht="13.5" customHeight="1" x14ac:dyDescent="0.2">
      <c r="A876" s="89"/>
      <c r="B876" s="95" t="s">
        <v>101</v>
      </c>
      <c r="C876" s="96" t="s">
        <v>102</v>
      </c>
      <c r="D876" s="43">
        <v>55795</v>
      </c>
      <c r="E876" s="97">
        <v>0</v>
      </c>
      <c r="F876" s="98">
        <f t="shared" si="473"/>
        <v>55795</v>
      </c>
      <c r="G876" s="98"/>
      <c r="H876" s="98">
        <f>+G876+F876</f>
        <v>55795</v>
      </c>
      <c r="I876" s="97">
        <v>38663</v>
      </c>
      <c r="J876" s="99">
        <v>59407</v>
      </c>
      <c r="K876" s="98"/>
      <c r="L876" s="182">
        <f>+K876+J876</f>
        <v>59407</v>
      </c>
      <c r="M876" s="182"/>
      <c r="N876" s="182">
        <f t="shared" ref="N876:N889" si="479">+M876+L876</f>
        <v>59407</v>
      </c>
      <c r="O876" s="182">
        <v>37265</v>
      </c>
      <c r="P876" s="78">
        <v>67724</v>
      </c>
      <c r="Q876" s="87">
        <f t="shared" si="451"/>
        <v>0.14000033666066289</v>
      </c>
      <c r="R876" s="203" t="s">
        <v>1450</v>
      </c>
    </row>
    <row r="877" spans="1:21" ht="13.5" customHeight="1" x14ac:dyDescent="0.2">
      <c r="A877" s="89"/>
      <c r="B877" s="95" t="s">
        <v>103</v>
      </c>
      <c r="C877" s="96" t="s">
        <v>104</v>
      </c>
      <c r="D877" s="43">
        <v>83200</v>
      </c>
      <c r="E877" s="97">
        <f>+E878+E879+E880+E891+E892+E893+E895+E896+E898</f>
        <v>400</v>
      </c>
      <c r="F877" s="98">
        <f t="shared" si="473"/>
        <v>83600</v>
      </c>
      <c r="G877" s="98"/>
      <c r="H877" s="98">
        <f t="shared" ref="H877:H899" si="480">+G877+F877</f>
        <v>83600</v>
      </c>
      <c r="I877" s="97">
        <f>+I878+I879+I880+I891+I892+I893+I895+I896+I898+I899</f>
        <v>62697</v>
      </c>
      <c r="J877" s="99">
        <f>+J878+J879+J880+J891+J892+J893+J895+J896+J898+J899</f>
        <v>83850</v>
      </c>
      <c r="K877" s="99">
        <f>+K878+K879+K880+K891+K892+K893+K895+K896+K898+K899</f>
        <v>-12500</v>
      </c>
      <c r="L877" s="170">
        <f>+L878+L879+L880+L891+L892+L893+L895+L896+L898+L899</f>
        <v>71350</v>
      </c>
      <c r="M877" s="170">
        <f t="shared" ref="M877:N877" si="481">+M878+M879+M880+M891+M892+M893+M895+M896+M898+M899</f>
        <v>19650</v>
      </c>
      <c r="N877" s="170">
        <f t="shared" si="481"/>
        <v>91000</v>
      </c>
      <c r="O877" s="170">
        <f t="shared" ref="O877" si="482">+O878+O879+O880+O891+O892+O893+O895+O896+O898+O899</f>
        <v>73553</v>
      </c>
      <c r="P877" s="170">
        <f>+P878+P879+P880+P891+P892+P893+P895+P896+P898+P899+P890+P897+P894</f>
        <v>123678</v>
      </c>
      <c r="Q877" s="87">
        <f t="shared" si="451"/>
        <v>0.35909890109890108</v>
      </c>
      <c r="R877" s="206"/>
    </row>
    <row r="878" spans="1:21" ht="13.5" customHeight="1" x14ac:dyDescent="0.2">
      <c r="A878" s="89"/>
      <c r="B878" s="90">
        <v>5500</v>
      </c>
      <c r="C878" s="72" t="s">
        <v>237</v>
      </c>
      <c r="D878" s="102">
        <v>3000</v>
      </c>
      <c r="E878" s="71"/>
      <c r="F878" s="74">
        <f t="shared" si="473"/>
        <v>3000</v>
      </c>
      <c r="G878" s="74"/>
      <c r="H878" s="74">
        <f t="shared" si="480"/>
        <v>3000</v>
      </c>
      <c r="I878" s="71">
        <v>1133</v>
      </c>
      <c r="J878" s="73">
        <v>2500</v>
      </c>
      <c r="K878" s="74"/>
      <c r="L878" s="74">
        <f t="shared" ref="L878:L899" si="483">+K878+J878</f>
        <v>2500</v>
      </c>
      <c r="M878" s="74"/>
      <c r="N878" s="74">
        <f t="shared" si="479"/>
        <v>2500</v>
      </c>
      <c r="O878" s="74">
        <v>2084</v>
      </c>
      <c r="P878" s="67">
        <v>2800</v>
      </c>
      <c r="Q878" s="87">
        <f t="shared" si="451"/>
        <v>0.12</v>
      </c>
      <c r="R878" s="206"/>
    </row>
    <row r="879" spans="1:21" ht="13.5" customHeight="1" x14ac:dyDescent="0.2">
      <c r="A879" s="89"/>
      <c r="B879" s="90">
        <v>5504</v>
      </c>
      <c r="C879" s="72" t="s">
        <v>118</v>
      </c>
      <c r="D879" s="102">
        <v>1000</v>
      </c>
      <c r="E879" s="71"/>
      <c r="F879" s="74">
        <f t="shared" si="473"/>
        <v>1000</v>
      </c>
      <c r="G879" s="74"/>
      <c r="H879" s="74">
        <f t="shared" si="480"/>
        <v>1000</v>
      </c>
      <c r="I879" s="71">
        <v>285</v>
      </c>
      <c r="J879" s="73">
        <v>1000</v>
      </c>
      <c r="K879" s="74"/>
      <c r="L879" s="74">
        <f t="shared" si="483"/>
        <v>1000</v>
      </c>
      <c r="M879" s="74"/>
      <c r="N879" s="74">
        <f t="shared" si="479"/>
        <v>1000</v>
      </c>
      <c r="O879" s="74">
        <v>94</v>
      </c>
      <c r="P879" s="67">
        <v>1500</v>
      </c>
      <c r="Q879" s="87">
        <f t="shared" si="451"/>
        <v>0.5</v>
      </c>
      <c r="R879" s="203"/>
    </row>
    <row r="880" spans="1:21" ht="13.5" customHeight="1" x14ac:dyDescent="0.2">
      <c r="A880" s="89"/>
      <c r="B880" s="90">
        <v>5511</v>
      </c>
      <c r="C880" s="72" t="s">
        <v>222</v>
      </c>
      <c r="D880" s="102">
        <v>55000</v>
      </c>
      <c r="E880" s="71"/>
      <c r="F880" s="74">
        <f t="shared" si="473"/>
        <v>55000</v>
      </c>
      <c r="G880" s="74"/>
      <c r="H880" s="74">
        <f t="shared" si="480"/>
        <v>55000</v>
      </c>
      <c r="I880" s="71">
        <f>SUM(I881:I889)</f>
        <v>34955</v>
      </c>
      <c r="J880" s="73">
        <f>SUM(J881:J889)</f>
        <v>46200</v>
      </c>
      <c r="K880" s="73">
        <f>SUM(K881:K889)</f>
        <v>0</v>
      </c>
      <c r="L880" s="74">
        <f>SUM(L881:L889)</f>
        <v>46200</v>
      </c>
      <c r="M880" s="92">
        <f t="shared" ref="M880:O880" si="484">SUM(M881:M889)</f>
        <v>4000</v>
      </c>
      <c r="N880" s="74">
        <f t="shared" si="484"/>
        <v>50200</v>
      </c>
      <c r="O880" s="74">
        <f t="shared" si="484"/>
        <v>39016</v>
      </c>
      <c r="P880" s="67">
        <f>SUM(P881:P889)</f>
        <v>70878</v>
      </c>
      <c r="Q880" s="87">
        <f t="shared" si="451"/>
        <v>0.41191235059760956</v>
      </c>
      <c r="R880" s="206"/>
    </row>
    <row r="881" spans="1:25" s="49" customFormat="1" ht="13.5" customHeight="1" x14ac:dyDescent="0.2">
      <c r="A881" s="184"/>
      <c r="B881" s="185"/>
      <c r="C881" s="154" t="s">
        <v>120</v>
      </c>
      <c r="D881" s="157">
        <v>16720</v>
      </c>
      <c r="E881" s="158"/>
      <c r="F881" s="153">
        <f t="shared" si="473"/>
        <v>16720</v>
      </c>
      <c r="G881" s="153"/>
      <c r="H881" s="153">
        <f t="shared" si="480"/>
        <v>16720</v>
      </c>
      <c r="I881" s="158">
        <v>13639</v>
      </c>
      <c r="J881" s="159">
        <v>18000</v>
      </c>
      <c r="K881" s="153"/>
      <c r="L881" s="153">
        <f t="shared" si="483"/>
        <v>18000</v>
      </c>
      <c r="M881" s="153">
        <v>4000</v>
      </c>
      <c r="N881" s="153">
        <f t="shared" si="479"/>
        <v>22000</v>
      </c>
      <c r="O881" s="153">
        <v>14404</v>
      </c>
      <c r="P881" s="155">
        <v>26000</v>
      </c>
      <c r="Q881" s="87">
        <f t="shared" si="451"/>
        <v>0.18181818181818182</v>
      </c>
      <c r="R881" s="206"/>
      <c r="S881" s="56"/>
      <c r="U881" s="56"/>
      <c r="V881" s="56"/>
      <c r="W881" s="56"/>
      <c r="X881" s="56"/>
      <c r="Y881" s="56"/>
    </row>
    <row r="882" spans="1:25" s="49" customFormat="1" ht="13.5" customHeight="1" x14ac:dyDescent="0.2">
      <c r="A882" s="184"/>
      <c r="B882" s="185"/>
      <c r="C882" s="154" t="s">
        <v>121</v>
      </c>
      <c r="D882" s="157">
        <v>10000</v>
      </c>
      <c r="E882" s="158"/>
      <c r="F882" s="153">
        <f t="shared" si="473"/>
        <v>10000</v>
      </c>
      <c r="G882" s="153"/>
      <c r="H882" s="153">
        <f t="shared" si="480"/>
        <v>10000</v>
      </c>
      <c r="I882" s="158">
        <v>4952</v>
      </c>
      <c r="J882" s="159">
        <v>12000</v>
      </c>
      <c r="K882" s="153"/>
      <c r="L882" s="153">
        <f t="shared" si="483"/>
        <v>12000</v>
      </c>
      <c r="M882" s="153"/>
      <c r="N882" s="153">
        <f t="shared" si="479"/>
        <v>12000</v>
      </c>
      <c r="O882" s="153">
        <v>12315</v>
      </c>
      <c r="P882" s="155">
        <v>18000</v>
      </c>
      <c r="Q882" s="87">
        <f t="shared" si="451"/>
        <v>0.5</v>
      </c>
      <c r="R882" s="206"/>
      <c r="S882" s="56"/>
      <c r="U882" s="56"/>
      <c r="V882" s="56"/>
      <c r="W882" s="56"/>
      <c r="X882" s="56"/>
      <c r="Y882" s="56"/>
    </row>
    <row r="883" spans="1:25" s="49" customFormat="1" ht="13.5" customHeight="1" x14ac:dyDescent="0.2">
      <c r="A883" s="184"/>
      <c r="B883" s="185"/>
      <c r="C883" s="154" t="s">
        <v>122</v>
      </c>
      <c r="D883" s="157">
        <v>2500</v>
      </c>
      <c r="E883" s="158"/>
      <c r="F883" s="153">
        <f t="shared" si="473"/>
        <v>2500</v>
      </c>
      <c r="G883" s="153"/>
      <c r="H883" s="153">
        <f t="shared" si="480"/>
        <v>2500</v>
      </c>
      <c r="I883" s="158">
        <v>1054</v>
      </c>
      <c r="J883" s="159">
        <v>1200</v>
      </c>
      <c r="K883" s="153"/>
      <c r="L883" s="153">
        <f t="shared" si="483"/>
        <v>1200</v>
      </c>
      <c r="M883" s="153"/>
      <c r="N883" s="153">
        <f t="shared" si="479"/>
        <v>1200</v>
      </c>
      <c r="O883" s="153">
        <v>1227</v>
      </c>
      <c r="P883" s="155">
        <v>2000</v>
      </c>
      <c r="Q883" s="87">
        <f t="shared" si="451"/>
        <v>0.66666666666666663</v>
      </c>
      <c r="R883" s="206"/>
      <c r="S883" s="56"/>
      <c r="U883" s="56"/>
      <c r="V883" s="56"/>
      <c r="W883" s="56"/>
      <c r="X883" s="56"/>
      <c r="Y883" s="56"/>
    </row>
    <row r="884" spans="1:25" s="49" customFormat="1" ht="13.5" customHeight="1" x14ac:dyDescent="0.2">
      <c r="A884" s="184"/>
      <c r="B884" s="185"/>
      <c r="C884" s="154" t="s">
        <v>123</v>
      </c>
      <c r="D884" s="157">
        <v>6000</v>
      </c>
      <c r="E884" s="158"/>
      <c r="F884" s="153">
        <f t="shared" si="473"/>
        <v>6000</v>
      </c>
      <c r="G884" s="153"/>
      <c r="H884" s="153">
        <f t="shared" si="480"/>
        <v>6000</v>
      </c>
      <c r="I884" s="158">
        <v>2470</v>
      </c>
      <c r="J884" s="159">
        <v>4000</v>
      </c>
      <c r="K884" s="153"/>
      <c r="L884" s="153">
        <f t="shared" si="483"/>
        <v>4000</v>
      </c>
      <c r="M884" s="153"/>
      <c r="N884" s="153">
        <f t="shared" si="479"/>
        <v>4000</v>
      </c>
      <c r="O884" s="153">
        <v>2686</v>
      </c>
      <c r="P884" s="155">
        <v>4400</v>
      </c>
      <c r="Q884" s="87">
        <f t="shared" si="451"/>
        <v>0.1</v>
      </c>
      <c r="R884" s="206"/>
      <c r="S884" s="56"/>
      <c r="U884" s="56"/>
      <c r="V884" s="56"/>
      <c r="W884" s="56"/>
      <c r="X884" s="56"/>
      <c r="Y884" s="56"/>
    </row>
    <row r="885" spans="1:25" s="49" customFormat="1" ht="13.5" customHeight="1" x14ac:dyDescent="0.2">
      <c r="A885" s="184"/>
      <c r="B885" s="185"/>
      <c r="C885" s="154" t="s">
        <v>124</v>
      </c>
      <c r="D885" s="157">
        <v>9000</v>
      </c>
      <c r="E885" s="158"/>
      <c r="F885" s="153">
        <f t="shared" si="473"/>
        <v>9000</v>
      </c>
      <c r="G885" s="153"/>
      <c r="H885" s="153">
        <f t="shared" si="480"/>
        <v>9000</v>
      </c>
      <c r="I885" s="158">
        <v>5121</v>
      </c>
      <c r="J885" s="159">
        <v>6000</v>
      </c>
      <c r="K885" s="153"/>
      <c r="L885" s="153">
        <f t="shared" si="483"/>
        <v>6000</v>
      </c>
      <c r="M885" s="153"/>
      <c r="N885" s="153">
        <f t="shared" si="479"/>
        <v>6000</v>
      </c>
      <c r="O885" s="153">
        <v>4730</v>
      </c>
      <c r="P885" s="155">
        <v>5000</v>
      </c>
      <c r="Q885" s="87">
        <f t="shared" si="451"/>
        <v>-0.16666666666666666</v>
      </c>
      <c r="R885" s="206"/>
      <c r="S885" s="56"/>
      <c r="U885" s="56"/>
      <c r="V885" s="56"/>
      <c r="W885" s="56"/>
      <c r="X885" s="56"/>
      <c r="Y885" s="56"/>
    </row>
    <row r="886" spans="1:25" s="49" customFormat="1" ht="13.5" customHeight="1" x14ac:dyDescent="0.2">
      <c r="A886" s="184"/>
      <c r="B886" s="185"/>
      <c r="C886" s="154" t="s">
        <v>125</v>
      </c>
      <c r="D886" s="157">
        <v>600</v>
      </c>
      <c r="E886" s="158"/>
      <c r="F886" s="153">
        <f t="shared" si="473"/>
        <v>600</v>
      </c>
      <c r="G886" s="153"/>
      <c r="H886" s="153">
        <f t="shared" si="480"/>
        <v>600</v>
      </c>
      <c r="I886" s="158">
        <v>5679</v>
      </c>
      <c r="J886" s="159">
        <v>2000</v>
      </c>
      <c r="K886" s="153"/>
      <c r="L886" s="153">
        <f t="shared" si="483"/>
        <v>2000</v>
      </c>
      <c r="M886" s="153"/>
      <c r="N886" s="153">
        <f t="shared" si="479"/>
        <v>2000</v>
      </c>
      <c r="O886" s="153">
        <v>3012</v>
      </c>
      <c r="P886" s="155">
        <v>4212</v>
      </c>
      <c r="Q886" s="87">
        <f t="shared" si="451"/>
        <v>1.1060000000000001</v>
      </c>
      <c r="R886" s="206" t="s">
        <v>922</v>
      </c>
      <c r="S886" s="56"/>
      <c r="U886" s="56"/>
      <c r="V886" s="56"/>
      <c r="W886" s="56"/>
      <c r="X886" s="56"/>
      <c r="Y886" s="56"/>
    </row>
    <row r="887" spans="1:25" s="49" customFormat="1" ht="13.5" customHeight="1" x14ac:dyDescent="0.2">
      <c r="A887" s="184"/>
      <c r="B887" s="185"/>
      <c r="C887" s="154" t="s">
        <v>282</v>
      </c>
      <c r="D887" s="157">
        <v>10000</v>
      </c>
      <c r="E887" s="158"/>
      <c r="F887" s="153">
        <f t="shared" si="473"/>
        <v>10000</v>
      </c>
      <c r="G887" s="153"/>
      <c r="H887" s="153">
        <f t="shared" si="480"/>
        <v>10000</v>
      </c>
      <c r="I887" s="158">
        <v>1560</v>
      </c>
      <c r="J887" s="159">
        <v>3000</v>
      </c>
      <c r="K887" s="153"/>
      <c r="L887" s="153">
        <f t="shared" si="483"/>
        <v>3000</v>
      </c>
      <c r="M887" s="153"/>
      <c r="N887" s="153">
        <f t="shared" si="479"/>
        <v>3000</v>
      </c>
      <c r="O887" s="153"/>
      <c r="P887" s="217">
        <v>10000</v>
      </c>
      <c r="Q887" s="87">
        <f t="shared" si="451"/>
        <v>2.3333333333333335</v>
      </c>
      <c r="R887" s="206" t="s">
        <v>923</v>
      </c>
      <c r="S887" s="56"/>
      <c r="U887" s="56"/>
      <c r="V887" s="56"/>
      <c r="W887" s="56"/>
      <c r="X887" s="56"/>
      <c r="Y887" s="56"/>
    </row>
    <row r="888" spans="1:25" s="49" customFormat="1" ht="13.5" customHeight="1" x14ac:dyDescent="0.2">
      <c r="A888" s="184"/>
      <c r="B888" s="185"/>
      <c r="C888" s="154" t="s">
        <v>127</v>
      </c>
      <c r="D888" s="157">
        <v>180</v>
      </c>
      <c r="E888" s="158"/>
      <c r="F888" s="153">
        <f t="shared" si="473"/>
        <v>180</v>
      </c>
      <c r="G888" s="153"/>
      <c r="H888" s="153">
        <f t="shared" si="480"/>
        <v>180</v>
      </c>
      <c r="I888" s="158"/>
      <c r="J888" s="159"/>
      <c r="K888" s="153"/>
      <c r="L888" s="153">
        <f t="shared" si="483"/>
        <v>0</v>
      </c>
      <c r="M888" s="153"/>
      <c r="N888" s="153">
        <f t="shared" si="479"/>
        <v>0</v>
      </c>
      <c r="O888" s="153">
        <v>642</v>
      </c>
      <c r="P888" s="155">
        <v>642</v>
      </c>
      <c r="Q888" s="87">
        <v>1</v>
      </c>
      <c r="R888" s="206"/>
      <c r="S888" s="56"/>
      <c r="U888" s="56"/>
      <c r="V888" s="56"/>
      <c r="W888" s="56"/>
      <c r="X888" s="56"/>
      <c r="Y888" s="56"/>
    </row>
    <row r="889" spans="1:25" s="49" customFormat="1" ht="13.5" customHeight="1" x14ac:dyDescent="0.2">
      <c r="A889" s="184"/>
      <c r="B889" s="185"/>
      <c r="C889" s="154" t="s">
        <v>128</v>
      </c>
      <c r="D889" s="157">
        <v>0</v>
      </c>
      <c r="E889" s="158"/>
      <c r="F889" s="153">
        <f t="shared" si="473"/>
        <v>0</v>
      </c>
      <c r="G889" s="153"/>
      <c r="H889" s="153">
        <f t="shared" si="480"/>
        <v>0</v>
      </c>
      <c r="I889" s="158">
        <v>480</v>
      </c>
      <c r="J889" s="159"/>
      <c r="K889" s="153"/>
      <c r="L889" s="153">
        <f t="shared" si="483"/>
        <v>0</v>
      </c>
      <c r="M889" s="153"/>
      <c r="N889" s="153">
        <f t="shared" si="479"/>
        <v>0</v>
      </c>
      <c r="O889" s="153"/>
      <c r="P889" s="155">
        <v>624</v>
      </c>
      <c r="Q889" s="87">
        <v>1</v>
      </c>
      <c r="R889" s="203" t="s">
        <v>921</v>
      </c>
      <c r="S889" s="56"/>
      <c r="U889" s="56"/>
      <c r="V889" s="56"/>
      <c r="W889" s="56"/>
      <c r="X889" s="56"/>
      <c r="Y889" s="56"/>
    </row>
    <row r="890" spans="1:25" s="49" customFormat="1" ht="13.5" customHeight="1" x14ac:dyDescent="0.2">
      <c r="A890" s="184"/>
      <c r="B890" s="90">
        <v>5512</v>
      </c>
      <c r="C890" s="72" t="s">
        <v>189</v>
      </c>
      <c r="D890" s="157"/>
      <c r="E890" s="158"/>
      <c r="F890" s="153"/>
      <c r="G890" s="153"/>
      <c r="H890" s="153"/>
      <c r="I890" s="158"/>
      <c r="J890" s="159"/>
      <c r="K890" s="153"/>
      <c r="L890" s="153"/>
      <c r="M890" s="153"/>
      <c r="N890" s="153"/>
      <c r="O890" s="153"/>
      <c r="P890" s="67">
        <v>200</v>
      </c>
      <c r="Q890" s="87">
        <v>1</v>
      </c>
      <c r="R890" s="203" t="s">
        <v>924</v>
      </c>
      <c r="S890" s="56"/>
      <c r="U890" s="56"/>
      <c r="V890" s="56"/>
      <c r="W890" s="56"/>
      <c r="X890" s="56"/>
      <c r="Y890" s="56"/>
    </row>
    <row r="891" spans="1:25" ht="13.5" customHeight="1" x14ac:dyDescent="0.2">
      <c r="A891" s="89"/>
      <c r="B891" s="90">
        <v>5513</v>
      </c>
      <c r="C891" s="72" t="s">
        <v>243</v>
      </c>
      <c r="D891" s="102">
        <v>1200</v>
      </c>
      <c r="E891" s="71"/>
      <c r="F891" s="74">
        <f t="shared" si="473"/>
        <v>1200</v>
      </c>
      <c r="G891" s="74"/>
      <c r="H891" s="74">
        <f t="shared" si="480"/>
        <v>1200</v>
      </c>
      <c r="I891" s="71">
        <v>482</v>
      </c>
      <c r="J891" s="73">
        <v>1200</v>
      </c>
      <c r="K891" s="74"/>
      <c r="L891" s="74">
        <f t="shared" si="483"/>
        <v>1200</v>
      </c>
      <c r="M891" s="74"/>
      <c r="N891" s="74">
        <f t="shared" ref="N891:N899" si="485">+M891+L891</f>
        <v>1200</v>
      </c>
      <c r="O891" s="74">
        <v>431</v>
      </c>
      <c r="P891" s="67">
        <v>1200</v>
      </c>
      <c r="Q891" s="87">
        <f t="shared" si="451"/>
        <v>0</v>
      </c>
      <c r="R891" s="203"/>
    </row>
    <row r="892" spans="1:25" ht="13.5" customHeight="1" x14ac:dyDescent="0.2">
      <c r="A892" s="89"/>
      <c r="B892" s="90">
        <v>5514</v>
      </c>
      <c r="C892" s="72" t="s">
        <v>297</v>
      </c>
      <c r="D892" s="102">
        <v>2000</v>
      </c>
      <c r="E892" s="71"/>
      <c r="F892" s="74">
        <f t="shared" si="473"/>
        <v>2000</v>
      </c>
      <c r="G892" s="74"/>
      <c r="H892" s="74">
        <f t="shared" si="480"/>
        <v>2000</v>
      </c>
      <c r="I892" s="71">
        <v>847</v>
      </c>
      <c r="J892" s="73">
        <v>2000</v>
      </c>
      <c r="K892" s="74"/>
      <c r="L892" s="74">
        <f t="shared" si="483"/>
        <v>2000</v>
      </c>
      <c r="M892" s="74"/>
      <c r="N892" s="74">
        <f t="shared" si="485"/>
        <v>2000</v>
      </c>
      <c r="O892" s="74">
        <v>836</v>
      </c>
      <c r="P892" s="67">
        <f>+N892+M892</f>
        <v>2000</v>
      </c>
      <c r="Q892" s="87">
        <f t="shared" si="451"/>
        <v>0</v>
      </c>
      <c r="R892" s="203"/>
    </row>
    <row r="893" spans="1:25" ht="13.5" customHeight="1" x14ac:dyDescent="0.2">
      <c r="A893" s="89"/>
      <c r="B893" s="90">
        <v>5515</v>
      </c>
      <c r="C893" s="72" t="s">
        <v>298</v>
      </c>
      <c r="D893" s="102">
        <v>4000</v>
      </c>
      <c r="E893" s="219"/>
      <c r="F893" s="74">
        <f t="shared" si="473"/>
        <v>4000</v>
      </c>
      <c r="G893" s="74"/>
      <c r="H893" s="74">
        <f t="shared" si="480"/>
        <v>4000</v>
      </c>
      <c r="I893" s="71">
        <v>4647</v>
      </c>
      <c r="J893" s="73">
        <v>4700</v>
      </c>
      <c r="K893" s="74"/>
      <c r="L893" s="74">
        <f t="shared" si="483"/>
        <v>4700</v>
      </c>
      <c r="M893" s="74"/>
      <c r="N893" s="74">
        <f t="shared" si="485"/>
        <v>4700</v>
      </c>
      <c r="O893" s="74">
        <v>2558</v>
      </c>
      <c r="P893" s="67">
        <v>10000</v>
      </c>
      <c r="Q893" s="87">
        <f t="shared" si="451"/>
        <v>1.1276595744680851</v>
      </c>
      <c r="R893" s="203" t="s">
        <v>925</v>
      </c>
    </row>
    <row r="894" spans="1:25" ht="13.5" customHeight="1" x14ac:dyDescent="0.2">
      <c r="A894" s="89"/>
      <c r="B894" s="90" t="s">
        <v>134</v>
      </c>
      <c r="C894" s="72" t="s">
        <v>135</v>
      </c>
      <c r="D894" s="102"/>
      <c r="E894" s="219"/>
      <c r="F894" s="74"/>
      <c r="G894" s="74"/>
      <c r="H894" s="74"/>
      <c r="I894" s="71"/>
      <c r="J894" s="73"/>
      <c r="K894" s="74"/>
      <c r="L894" s="74"/>
      <c r="M894" s="74"/>
      <c r="N894" s="74"/>
      <c r="O894" s="74"/>
      <c r="P894" s="67">
        <v>3000</v>
      </c>
      <c r="Q894" s="87">
        <v>1</v>
      </c>
      <c r="R894" s="203" t="s">
        <v>927</v>
      </c>
    </row>
    <row r="895" spans="1:25" ht="13.5" customHeight="1" x14ac:dyDescent="0.2">
      <c r="A895" s="89"/>
      <c r="B895" s="90">
        <v>5522</v>
      </c>
      <c r="C895" s="72" t="s">
        <v>314</v>
      </c>
      <c r="D895" s="102">
        <v>0</v>
      </c>
      <c r="E895" s="71"/>
      <c r="F895" s="74">
        <f t="shared" si="473"/>
        <v>0</v>
      </c>
      <c r="G895" s="74"/>
      <c r="H895" s="74">
        <f t="shared" si="480"/>
        <v>0</v>
      </c>
      <c r="I895" s="71">
        <v>328</v>
      </c>
      <c r="J895" s="73">
        <v>350</v>
      </c>
      <c r="K895" s="74"/>
      <c r="L895" s="74">
        <f t="shared" si="483"/>
        <v>350</v>
      </c>
      <c r="M895" s="74"/>
      <c r="N895" s="74">
        <f t="shared" si="485"/>
        <v>350</v>
      </c>
      <c r="O895" s="74"/>
      <c r="P895" s="67">
        <v>400</v>
      </c>
      <c r="Q895" s="87">
        <f t="shared" si="451"/>
        <v>0.14285714285714285</v>
      </c>
      <c r="R895" s="203" t="s">
        <v>926</v>
      </c>
    </row>
    <row r="896" spans="1:25" ht="13.5" customHeight="1" x14ac:dyDescent="0.2">
      <c r="A896" s="89"/>
      <c r="B896" s="90">
        <v>5525</v>
      </c>
      <c r="C896" s="72" t="s">
        <v>299</v>
      </c>
      <c r="D896" s="102">
        <v>15000</v>
      </c>
      <c r="E896" s="71">
        <v>400</v>
      </c>
      <c r="F896" s="74">
        <f t="shared" ref="F896:F924" si="486">+E896+D896</f>
        <v>15400</v>
      </c>
      <c r="G896" s="74"/>
      <c r="H896" s="74">
        <f t="shared" si="480"/>
        <v>15400</v>
      </c>
      <c r="I896" s="71">
        <v>19845</v>
      </c>
      <c r="J896" s="73">
        <v>24400</v>
      </c>
      <c r="K896" s="74">
        <v>-12500</v>
      </c>
      <c r="L896" s="74">
        <f t="shared" si="483"/>
        <v>11900</v>
      </c>
      <c r="M896" s="92">
        <f>12500+3150</f>
        <v>15650</v>
      </c>
      <c r="N896" s="74">
        <f t="shared" si="485"/>
        <v>27550</v>
      </c>
      <c r="O896" s="74">
        <v>27685</v>
      </c>
      <c r="P896" s="67">
        <v>30000</v>
      </c>
      <c r="Q896" s="87">
        <f t="shared" si="451"/>
        <v>8.8929219600725959E-2</v>
      </c>
      <c r="R896" s="214" t="s">
        <v>920</v>
      </c>
      <c r="S896" s="215"/>
      <c r="T896" s="216">
        <f>27500/40000*100%</f>
        <v>0.6875</v>
      </c>
    </row>
    <row r="897" spans="1:23" ht="13.5" customHeight="1" x14ac:dyDescent="0.2">
      <c r="A897" s="89"/>
      <c r="B897" s="90">
        <v>5532</v>
      </c>
      <c r="C897" s="72" t="s">
        <v>204</v>
      </c>
      <c r="D897" s="102"/>
      <c r="E897" s="71"/>
      <c r="F897" s="74"/>
      <c r="G897" s="74"/>
      <c r="H897" s="74"/>
      <c r="I897" s="71"/>
      <c r="J897" s="73"/>
      <c r="K897" s="74"/>
      <c r="L897" s="74"/>
      <c r="M897" s="92"/>
      <c r="N897" s="74"/>
      <c r="O897" s="74"/>
      <c r="P897" s="67">
        <v>200</v>
      </c>
      <c r="Q897" s="87">
        <v>1</v>
      </c>
      <c r="R897" s="214"/>
      <c r="S897" s="215"/>
      <c r="T897" s="216"/>
    </row>
    <row r="898" spans="1:23" ht="13.5" customHeight="1" x14ac:dyDescent="0.2">
      <c r="A898" s="89"/>
      <c r="B898" s="90">
        <v>5540</v>
      </c>
      <c r="C898" s="72" t="s">
        <v>193</v>
      </c>
      <c r="D898" s="102">
        <v>2000</v>
      </c>
      <c r="E898" s="71"/>
      <c r="F898" s="74">
        <f t="shared" si="486"/>
        <v>2000</v>
      </c>
      <c r="G898" s="74"/>
      <c r="H898" s="74">
        <f t="shared" si="480"/>
        <v>2000</v>
      </c>
      <c r="I898" s="71">
        <v>175</v>
      </c>
      <c r="J898" s="73">
        <v>1500</v>
      </c>
      <c r="K898" s="74"/>
      <c r="L898" s="74">
        <f t="shared" si="483"/>
        <v>1500</v>
      </c>
      <c r="M898" s="74"/>
      <c r="N898" s="74">
        <f t="shared" si="485"/>
        <v>1500</v>
      </c>
      <c r="O898" s="74">
        <v>849</v>
      </c>
      <c r="P898" s="67">
        <f>+N898+M898</f>
        <v>1500</v>
      </c>
      <c r="Q898" s="87">
        <f t="shared" ref="Q898:Q975" si="487">(P898-N898)/N898</f>
        <v>0</v>
      </c>
      <c r="R898" s="203"/>
    </row>
    <row r="899" spans="1:23" ht="13.5" customHeight="1" x14ac:dyDescent="0.2">
      <c r="A899" s="89"/>
      <c r="B899" s="90">
        <v>6</v>
      </c>
      <c r="C899" s="72" t="s">
        <v>246</v>
      </c>
      <c r="D899" s="102"/>
      <c r="E899" s="71"/>
      <c r="F899" s="74">
        <f t="shared" si="486"/>
        <v>0</v>
      </c>
      <c r="G899" s="74"/>
      <c r="H899" s="74">
        <f t="shared" si="480"/>
        <v>0</v>
      </c>
      <c r="I899" s="71"/>
      <c r="J899" s="73"/>
      <c r="K899" s="74"/>
      <c r="L899" s="74">
        <f t="shared" si="483"/>
        <v>0</v>
      </c>
      <c r="M899" s="74"/>
      <c r="N899" s="74">
        <f t="shared" si="485"/>
        <v>0</v>
      </c>
      <c r="O899" s="74"/>
      <c r="P899" s="67">
        <f>+N899+M899</f>
        <v>0</v>
      </c>
      <c r="Q899" s="87" t="e">
        <f t="shared" si="487"/>
        <v>#DIV/0!</v>
      </c>
      <c r="R899" s="203"/>
    </row>
    <row r="900" spans="1:23" ht="13.5" customHeight="1" x14ac:dyDescent="0.2">
      <c r="A900" s="146" t="s">
        <v>685</v>
      </c>
      <c r="B900" s="147"/>
      <c r="C900" s="148" t="s">
        <v>315</v>
      </c>
      <c r="D900" s="149">
        <v>37270</v>
      </c>
      <c r="E900" s="151">
        <f>+E901</f>
        <v>2350</v>
      </c>
      <c r="F900" s="137">
        <f t="shared" si="486"/>
        <v>39620</v>
      </c>
      <c r="G900" s="137">
        <v>0</v>
      </c>
      <c r="H900" s="137">
        <f>+H901+H902</f>
        <v>39620</v>
      </c>
      <c r="I900" s="151">
        <f>+I901+I902</f>
        <v>20879</v>
      </c>
      <c r="J900" s="152">
        <f>+J901+J902</f>
        <v>52538</v>
      </c>
      <c r="K900" s="152">
        <f t="shared" ref="K900:L900" si="488">+K901+K902</f>
        <v>-5000</v>
      </c>
      <c r="L900" s="152">
        <f t="shared" si="488"/>
        <v>47538</v>
      </c>
      <c r="M900" s="152">
        <f t="shared" ref="M900:N900" si="489">+M901+M902</f>
        <v>7500</v>
      </c>
      <c r="N900" s="152">
        <f t="shared" si="489"/>
        <v>55038</v>
      </c>
      <c r="O900" s="152">
        <f t="shared" ref="O900:P900" si="490">+O901+O902</f>
        <v>53609</v>
      </c>
      <c r="P900" s="152">
        <f t="shared" si="490"/>
        <v>76388</v>
      </c>
      <c r="Q900" s="87">
        <f t="shared" si="487"/>
        <v>0.38791380500744937</v>
      </c>
      <c r="R900" s="203" t="s">
        <v>928</v>
      </c>
    </row>
    <row r="901" spans="1:23" ht="13.5" customHeight="1" x14ac:dyDescent="0.2">
      <c r="A901" s="89"/>
      <c r="B901" s="95" t="s">
        <v>101</v>
      </c>
      <c r="C901" s="96" t="s">
        <v>102</v>
      </c>
      <c r="D901" s="43">
        <v>9640</v>
      </c>
      <c r="E901" s="97">
        <v>2350</v>
      </c>
      <c r="F901" s="98">
        <f t="shared" si="486"/>
        <v>11990</v>
      </c>
      <c r="G901" s="98"/>
      <c r="H901" s="98">
        <f>+G901+F901</f>
        <v>11990</v>
      </c>
      <c r="I901" s="97">
        <v>9045</v>
      </c>
      <c r="J901" s="99">
        <v>21098</v>
      </c>
      <c r="K901" s="98"/>
      <c r="L901" s="182">
        <f>+K901+J901</f>
        <v>21098</v>
      </c>
      <c r="M901" s="182"/>
      <c r="N901" s="182">
        <f t="shared" ref="N901:N914" si="491">+M901+L901</f>
        <v>21098</v>
      </c>
      <c r="O901" s="182">
        <v>17677</v>
      </c>
      <c r="P901" s="78">
        <v>28322</v>
      </c>
      <c r="Q901" s="87">
        <f t="shared" si="487"/>
        <v>0.34240212342402121</v>
      </c>
      <c r="R901" s="203" t="s">
        <v>1451</v>
      </c>
      <c r="W901" s="56" t="s">
        <v>1452</v>
      </c>
    </row>
    <row r="902" spans="1:23" ht="13.5" customHeight="1" x14ac:dyDescent="0.2">
      <c r="A902" s="89"/>
      <c r="B902" s="95" t="s">
        <v>103</v>
      </c>
      <c r="C902" s="96" t="s">
        <v>104</v>
      </c>
      <c r="D902" s="43">
        <v>27630</v>
      </c>
      <c r="E902" s="97"/>
      <c r="F902" s="98">
        <f t="shared" si="486"/>
        <v>27630</v>
      </c>
      <c r="G902" s="98"/>
      <c r="H902" s="98">
        <f t="shared" ref="H902:H923" si="492">+G902+F902</f>
        <v>27630</v>
      </c>
      <c r="I902" s="97">
        <f t="shared" ref="I902:N902" si="493">+I903+I904+I905+I916+I917+I918+I920+I922+I923</f>
        <v>11834</v>
      </c>
      <c r="J902" s="99">
        <f t="shared" si="493"/>
        <v>31440</v>
      </c>
      <c r="K902" s="99">
        <f t="shared" si="493"/>
        <v>-5000</v>
      </c>
      <c r="L902" s="170">
        <f t="shared" si="493"/>
        <v>26440</v>
      </c>
      <c r="M902" s="170">
        <f t="shared" si="493"/>
        <v>7500</v>
      </c>
      <c r="N902" s="170">
        <f t="shared" si="493"/>
        <v>33940</v>
      </c>
      <c r="O902" s="170">
        <f>+O903+O904+O905+O916+O917+O918+O920+O922+O923+O919+O921</f>
        <v>35932</v>
      </c>
      <c r="P902" s="170">
        <f>+P903+P904+P905+P916+P917+P918+P920+P922+P923+P915+P919+P921</f>
        <v>48066</v>
      </c>
      <c r="Q902" s="87">
        <f t="shared" si="487"/>
        <v>0.41620506776664701</v>
      </c>
      <c r="R902" s="206"/>
    </row>
    <row r="903" spans="1:23" ht="13.5" customHeight="1" x14ac:dyDescent="0.2">
      <c r="A903" s="89"/>
      <c r="B903" s="90">
        <v>5500</v>
      </c>
      <c r="C903" s="72" t="s">
        <v>237</v>
      </c>
      <c r="D903" s="102">
        <v>200</v>
      </c>
      <c r="E903" s="71"/>
      <c r="F903" s="74">
        <f t="shared" si="486"/>
        <v>200</v>
      </c>
      <c r="G903" s="74"/>
      <c r="H903" s="74">
        <f t="shared" si="492"/>
        <v>200</v>
      </c>
      <c r="I903" s="71">
        <v>450</v>
      </c>
      <c r="J903" s="73">
        <v>1500</v>
      </c>
      <c r="K903" s="74"/>
      <c r="L903" s="74">
        <f t="shared" ref="L903:L923" si="494">+K903+J903</f>
        <v>1500</v>
      </c>
      <c r="M903" s="74"/>
      <c r="N903" s="74">
        <f t="shared" si="491"/>
        <v>1500</v>
      </c>
      <c r="O903" s="74">
        <v>514</v>
      </c>
      <c r="P903" s="67">
        <v>1500</v>
      </c>
      <c r="Q903" s="87">
        <f t="shared" si="487"/>
        <v>0</v>
      </c>
      <c r="R903" s="203"/>
    </row>
    <row r="904" spans="1:23" ht="13.5" customHeight="1" x14ac:dyDescent="0.2">
      <c r="A904" s="89"/>
      <c r="B904" s="90">
        <v>5504</v>
      </c>
      <c r="C904" s="72" t="s">
        <v>118</v>
      </c>
      <c r="D904" s="102">
        <v>400</v>
      </c>
      <c r="E904" s="71"/>
      <c r="F904" s="74">
        <f t="shared" si="486"/>
        <v>400</v>
      </c>
      <c r="G904" s="74"/>
      <c r="H904" s="74">
        <f t="shared" si="492"/>
        <v>400</v>
      </c>
      <c r="I904" s="71">
        <v>385</v>
      </c>
      <c r="J904" s="73">
        <v>1000</v>
      </c>
      <c r="K904" s="74"/>
      <c r="L904" s="74">
        <f t="shared" si="494"/>
        <v>1000</v>
      </c>
      <c r="M904" s="74"/>
      <c r="N904" s="74">
        <f t="shared" si="491"/>
        <v>1000</v>
      </c>
      <c r="O904" s="74">
        <v>1002</v>
      </c>
      <c r="P904" s="67">
        <v>600</v>
      </c>
      <c r="Q904" s="87">
        <f t="shared" si="487"/>
        <v>-0.4</v>
      </c>
      <c r="R904" s="203"/>
    </row>
    <row r="905" spans="1:23" ht="13.5" customHeight="1" x14ac:dyDescent="0.2">
      <c r="A905" s="89"/>
      <c r="B905" s="90">
        <v>5511</v>
      </c>
      <c r="C905" s="72" t="s">
        <v>222</v>
      </c>
      <c r="D905" s="102">
        <v>11300</v>
      </c>
      <c r="E905" s="71"/>
      <c r="F905" s="74">
        <f t="shared" si="486"/>
        <v>11300</v>
      </c>
      <c r="G905" s="74"/>
      <c r="H905" s="74">
        <f t="shared" si="492"/>
        <v>11300</v>
      </c>
      <c r="I905" s="71">
        <f>SUM(I906:I914)</f>
        <v>5547</v>
      </c>
      <c r="J905" s="73">
        <f>SUM(J906:J914)</f>
        <v>10540</v>
      </c>
      <c r="K905" s="73">
        <f>SUM(K906:K914)</f>
        <v>-1000</v>
      </c>
      <c r="L905" s="74">
        <f>SUM(L906:L914)</f>
        <v>9540</v>
      </c>
      <c r="M905" s="92">
        <f t="shared" ref="M905:O905" si="495">SUM(M906:M914)</f>
        <v>2000</v>
      </c>
      <c r="N905" s="74">
        <f t="shared" si="495"/>
        <v>11540</v>
      </c>
      <c r="O905" s="74">
        <f t="shared" si="495"/>
        <v>11547</v>
      </c>
      <c r="P905" s="67">
        <f t="shared" ref="P905" si="496">SUM(P906:P914)</f>
        <v>16666</v>
      </c>
      <c r="Q905" s="87">
        <f t="shared" si="487"/>
        <v>0.44419410745233967</v>
      </c>
      <c r="R905" s="206" t="s">
        <v>1453</v>
      </c>
    </row>
    <row r="906" spans="1:23" ht="13.5" customHeight="1" x14ac:dyDescent="0.2">
      <c r="A906" s="89"/>
      <c r="B906" s="185"/>
      <c r="C906" s="154" t="s">
        <v>120</v>
      </c>
      <c r="D906" s="157">
        <v>0</v>
      </c>
      <c r="E906" s="71"/>
      <c r="F906" s="153">
        <f t="shared" si="486"/>
        <v>0</v>
      </c>
      <c r="G906" s="153"/>
      <c r="H906" s="153">
        <f t="shared" si="492"/>
        <v>0</v>
      </c>
      <c r="I906" s="158"/>
      <c r="J906" s="159"/>
      <c r="K906" s="153"/>
      <c r="L906" s="153">
        <f t="shared" si="494"/>
        <v>0</v>
      </c>
      <c r="M906" s="153"/>
      <c r="N906" s="153">
        <f t="shared" si="491"/>
        <v>0</v>
      </c>
      <c r="O906" s="153"/>
      <c r="P906" s="155">
        <f>+N906+M906</f>
        <v>0</v>
      </c>
      <c r="Q906" s="87" t="e">
        <f t="shared" si="487"/>
        <v>#DIV/0!</v>
      </c>
      <c r="R906" s="206" t="s">
        <v>1577</v>
      </c>
    </row>
    <row r="907" spans="1:23" ht="13.5" customHeight="1" x14ac:dyDescent="0.2">
      <c r="A907" s="89"/>
      <c r="B907" s="185"/>
      <c r="C907" s="154" t="s">
        <v>121</v>
      </c>
      <c r="D907" s="157">
        <v>4800</v>
      </c>
      <c r="E907" s="71"/>
      <c r="F907" s="153">
        <f t="shared" si="486"/>
        <v>4800</v>
      </c>
      <c r="G907" s="153"/>
      <c r="H907" s="153">
        <f t="shared" si="492"/>
        <v>4800</v>
      </c>
      <c r="I907" s="158">
        <v>3156</v>
      </c>
      <c r="J907" s="159">
        <v>6000</v>
      </c>
      <c r="K907" s="153"/>
      <c r="L907" s="153">
        <f t="shared" si="494"/>
        <v>6000</v>
      </c>
      <c r="M907" s="153">
        <v>2000</v>
      </c>
      <c r="N907" s="153">
        <f t="shared" si="491"/>
        <v>8000</v>
      </c>
      <c r="O907" s="153">
        <v>4840</v>
      </c>
      <c r="P907" s="155">
        <v>13000</v>
      </c>
      <c r="Q907" s="87">
        <f t="shared" si="487"/>
        <v>0.625</v>
      </c>
      <c r="R907" s="206"/>
    </row>
    <row r="908" spans="1:23" ht="13.5" customHeight="1" x14ac:dyDescent="0.2">
      <c r="A908" s="89"/>
      <c r="B908" s="185"/>
      <c r="C908" s="154" t="s">
        <v>122</v>
      </c>
      <c r="D908" s="157">
        <v>2000</v>
      </c>
      <c r="E908" s="71"/>
      <c r="F908" s="153">
        <f t="shared" si="486"/>
        <v>2000</v>
      </c>
      <c r="G908" s="153"/>
      <c r="H908" s="153">
        <f t="shared" si="492"/>
        <v>2000</v>
      </c>
      <c r="I908" s="158">
        <v>4</v>
      </c>
      <c r="J908" s="159">
        <v>100</v>
      </c>
      <c r="K908" s="153"/>
      <c r="L908" s="153">
        <f t="shared" si="494"/>
        <v>100</v>
      </c>
      <c r="M908" s="153"/>
      <c r="N908" s="153">
        <f t="shared" si="491"/>
        <v>100</v>
      </c>
      <c r="O908" s="153"/>
      <c r="P908" s="155">
        <v>200</v>
      </c>
      <c r="Q908" s="87">
        <f t="shared" si="487"/>
        <v>1</v>
      </c>
      <c r="R908" s="206"/>
    </row>
    <row r="909" spans="1:23" ht="13.5" customHeight="1" x14ac:dyDescent="0.2">
      <c r="A909" s="89"/>
      <c r="B909" s="185"/>
      <c r="C909" s="154" t="s">
        <v>123</v>
      </c>
      <c r="D909" s="157">
        <v>500</v>
      </c>
      <c r="E909" s="71"/>
      <c r="F909" s="153">
        <f t="shared" si="486"/>
        <v>500</v>
      </c>
      <c r="G909" s="153"/>
      <c r="H909" s="153">
        <f t="shared" si="492"/>
        <v>500</v>
      </c>
      <c r="I909" s="158">
        <v>796</v>
      </c>
      <c r="J909" s="159">
        <v>200</v>
      </c>
      <c r="K909" s="153"/>
      <c r="L909" s="153">
        <f t="shared" si="494"/>
        <v>200</v>
      </c>
      <c r="M909" s="153"/>
      <c r="N909" s="153">
        <f t="shared" si="491"/>
        <v>200</v>
      </c>
      <c r="O909" s="153">
        <v>944</v>
      </c>
      <c r="P909" s="155">
        <v>1000</v>
      </c>
      <c r="Q909" s="87">
        <f t="shared" si="487"/>
        <v>4</v>
      </c>
      <c r="R909" s="206"/>
    </row>
    <row r="910" spans="1:23" ht="13.5" customHeight="1" x14ac:dyDescent="0.2">
      <c r="A910" s="89"/>
      <c r="B910" s="185"/>
      <c r="C910" s="154" t="s">
        <v>124</v>
      </c>
      <c r="D910" s="157">
        <v>300</v>
      </c>
      <c r="E910" s="71"/>
      <c r="F910" s="153">
        <f t="shared" si="486"/>
        <v>300</v>
      </c>
      <c r="G910" s="153"/>
      <c r="H910" s="153">
        <f t="shared" si="492"/>
        <v>300</v>
      </c>
      <c r="I910" s="158">
        <v>922</v>
      </c>
      <c r="J910" s="159">
        <v>1000</v>
      </c>
      <c r="K910" s="153"/>
      <c r="L910" s="153">
        <f t="shared" si="494"/>
        <v>1000</v>
      </c>
      <c r="M910" s="153"/>
      <c r="N910" s="153">
        <f t="shared" si="491"/>
        <v>1000</v>
      </c>
      <c r="O910" s="153">
        <v>702</v>
      </c>
      <c r="P910" s="155">
        <v>1400</v>
      </c>
      <c r="Q910" s="87">
        <f t="shared" si="487"/>
        <v>0.4</v>
      </c>
      <c r="R910" s="206"/>
    </row>
    <row r="911" spans="1:23" ht="13.5" customHeight="1" x14ac:dyDescent="0.25">
      <c r="A911" s="89"/>
      <c r="B911" s="185"/>
      <c r="C911" s="154" t="s">
        <v>125</v>
      </c>
      <c r="D911" s="157">
        <v>200</v>
      </c>
      <c r="E911" s="71"/>
      <c r="F911" s="153">
        <f t="shared" si="486"/>
        <v>200</v>
      </c>
      <c r="G911" s="153"/>
      <c r="H911" s="153">
        <f t="shared" si="492"/>
        <v>200</v>
      </c>
      <c r="I911" s="220">
        <v>91</v>
      </c>
      <c r="J911" s="159">
        <v>240</v>
      </c>
      <c r="K911" s="153"/>
      <c r="L911" s="153">
        <f t="shared" si="494"/>
        <v>240</v>
      </c>
      <c r="M911" s="153"/>
      <c r="N911" s="153">
        <f t="shared" si="491"/>
        <v>240</v>
      </c>
      <c r="O911" s="153">
        <v>485</v>
      </c>
      <c r="P911" s="155">
        <v>720</v>
      </c>
      <c r="Q911" s="87">
        <f t="shared" si="487"/>
        <v>2</v>
      </c>
      <c r="R911" s="206"/>
    </row>
    <row r="912" spans="1:23" ht="13.5" customHeight="1" x14ac:dyDescent="0.2">
      <c r="A912" s="89"/>
      <c r="B912" s="185"/>
      <c r="C912" s="154" t="s">
        <v>282</v>
      </c>
      <c r="D912" s="157">
        <v>3000</v>
      </c>
      <c r="E912" s="71"/>
      <c r="F912" s="153">
        <f t="shared" si="486"/>
        <v>3000</v>
      </c>
      <c r="G912" s="153"/>
      <c r="H912" s="153">
        <f t="shared" si="492"/>
        <v>3000</v>
      </c>
      <c r="I912" s="158">
        <v>578</v>
      </c>
      <c r="J912" s="159">
        <v>3000</v>
      </c>
      <c r="K912" s="153">
        <v>-1000</v>
      </c>
      <c r="L912" s="153">
        <f t="shared" si="494"/>
        <v>2000</v>
      </c>
      <c r="M912" s="153"/>
      <c r="N912" s="153">
        <f t="shared" si="491"/>
        <v>2000</v>
      </c>
      <c r="O912" s="153">
        <v>3262</v>
      </c>
      <c r="P912" s="155">
        <v>200</v>
      </c>
      <c r="Q912" s="87">
        <f t="shared" si="487"/>
        <v>-0.9</v>
      </c>
      <c r="R912" s="206"/>
    </row>
    <row r="913" spans="1:21" ht="13.5" customHeight="1" x14ac:dyDescent="0.2">
      <c r="A913" s="89"/>
      <c r="B913" s="185"/>
      <c r="C913" s="154" t="s">
        <v>127</v>
      </c>
      <c r="D913" s="157">
        <v>500</v>
      </c>
      <c r="E913" s="71"/>
      <c r="F913" s="153">
        <f t="shared" si="486"/>
        <v>500</v>
      </c>
      <c r="G913" s="153"/>
      <c r="H913" s="153">
        <f t="shared" si="492"/>
        <v>500</v>
      </c>
      <c r="I913" s="158"/>
      <c r="J913" s="159"/>
      <c r="K913" s="153"/>
      <c r="L913" s="153">
        <f t="shared" si="494"/>
        <v>0</v>
      </c>
      <c r="M913" s="153"/>
      <c r="N913" s="153">
        <f t="shared" si="491"/>
        <v>0</v>
      </c>
      <c r="O913" s="153">
        <v>146</v>
      </c>
      <c r="P913" s="155">
        <v>146</v>
      </c>
      <c r="Q913" s="87">
        <v>1</v>
      </c>
      <c r="R913" s="206"/>
    </row>
    <row r="914" spans="1:21" ht="13.5" customHeight="1" x14ac:dyDescent="0.2">
      <c r="A914" s="89"/>
      <c r="B914" s="185"/>
      <c r="C914" s="154" t="s">
        <v>182</v>
      </c>
      <c r="D914" s="157">
        <v>0</v>
      </c>
      <c r="E914" s="71"/>
      <c r="F914" s="153">
        <f t="shared" si="486"/>
        <v>0</v>
      </c>
      <c r="G914" s="153"/>
      <c r="H914" s="153">
        <f t="shared" si="492"/>
        <v>0</v>
      </c>
      <c r="I914" s="158"/>
      <c r="J914" s="159"/>
      <c r="K914" s="153"/>
      <c r="L914" s="153">
        <f t="shared" si="494"/>
        <v>0</v>
      </c>
      <c r="M914" s="153"/>
      <c r="N914" s="153">
        <f t="shared" si="491"/>
        <v>0</v>
      </c>
      <c r="O914" s="153">
        <v>1168</v>
      </c>
      <c r="P914" s="155">
        <f>+N914+M914</f>
        <v>0</v>
      </c>
      <c r="Q914" s="87">
        <v>0</v>
      </c>
      <c r="R914" s="206"/>
    </row>
    <row r="915" spans="1:21" ht="13.5" customHeight="1" x14ac:dyDescent="0.2">
      <c r="A915" s="89"/>
      <c r="B915" s="90">
        <v>5512</v>
      </c>
      <c r="C915" s="72" t="s">
        <v>189</v>
      </c>
      <c r="D915" s="157"/>
      <c r="E915" s="71"/>
      <c r="F915" s="153"/>
      <c r="G915" s="153"/>
      <c r="H915" s="153"/>
      <c r="I915" s="158"/>
      <c r="J915" s="159"/>
      <c r="K915" s="153"/>
      <c r="L915" s="153"/>
      <c r="M915" s="153"/>
      <c r="N915" s="153"/>
      <c r="O915" s="153"/>
      <c r="P915" s="67">
        <v>100</v>
      </c>
      <c r="Q915" s="87">
        <v>1</v>
      </c>
      <c r="R915" s="203" t="s">
        <v>929</v>
      </c>
    </row>
    <row r="916" spans="1:21" ht="13.5" customHeight="1" x14ac:dyDescent="0.2">
      <c r="A916" s="89"/>
      <c r="B916" s="90">
        <v>5513</v>
      </c>
      <c r="C916" s="72" t="s">
        <v>243</v>
      </c>
      <c r="D916" s="102">
        <v>300</v>
      </c>
      <c r="E916" s="71"/>
      <c r="F916" s="74">
        <f t="shared" si="486"/>
        <v>300</v>
      </c>
      <c r="G916" s="74"/>
      <c r="H916" s="74">
        <f t="shared" si="492"/>
        <v>300</v>
      </c>
      <c r="I916" s="71">
        <v>0</v>
      </c>
      <c r="J916" s="73">
        <v>300</v>
      </c>
      <c r="K916" s="74"/>
      <c r="L916" s="74">
        <f t="shared" si="494"/>
        <v>300</v>
      </c>
      <c r="M916" s="74"/>
      <c r="N916" s="74">
        <f t="shared" ref="N916:N923" si="497">+M916+L916</f>
        <v>300</v>
      </c>
      <c r="O916" s="74">
        <v>373</v>
      </c>
      <c r="P916" s="67">
        <v>400</v>
      </c>
      <c r="Q916" s="87">
        <f t="shared" si="487"/>
        <v>0.33333333333333331</v>
      </c>
      <c r="R916" s="206"/>
    </row>
    <row r="917" spans="1:21" ht="13.5" customHeight="1" x14ac:dyDescent="0.2">
      <c r="A917" s="89"/>
      <c r="B917" s="90">
        <v>5514</v>
      </c>
      <c r="C917" s="72" t="s">
        <v>297</v>
      </c>
      <c r="D917" s="102">
        <v>700</v>
      </c>
      <c r="E917" s="71"/>
      <c r="F917" s="74">
        <f t="shared" si="486"/>
        <v>700</v>
      </c>
      <c r="G917" s="74"/>
      <c r="H917" s="74">
        <f t="shared" si="492"/>
        <v>700</v>
      </c>
      <c r="I917" s="71">
        <v>0</v>
      </c>
      <c r="J917" s="73">
        <v>1000</v>
      </c>
      <c r="K917" s="74"/>
      <c r="L917" s="74">
        <f t="shared" si="494"/>
        <v>1000</v>
      </c>
      <c r="M917" s="74"/>
      <c r="N917" s="74">
        <f t="shared" si="497"/>
        <v>1000</v>
      </c>
      <c r="O917" s="74">
        <v>1167</v>
      </c>
      <c r="P917" s="67">
        <v>500</v>
      </c>
      <c r="Q917" s="87">
        <f t="shared" si="487"/>
        <v>-0.5</v>
      </c>
      <c r="R917" s="206"/>
    </row>
    <row r="918" spans="1:21" ht="13.5" customHeight="1" x14ac:dyDescent="0.2">
      <c r="A918" s="89"/>
      <c r="B918" s="90">
        <v>5515</v>
      </c>
      <c r="C918" s="72" t="s">
        <v>298</v>
      </c>
      <c r="D918" s="102">
        <v>3630</v>
      </c>
      <c r="E918" s="71"/>
      <c r="F918" s="74">
        <f t="shared" si="486"/>
        <v>3630</v>
      </c>
      <c r="G918" s="74"/>
      <c r="H918" s="74">
        <f t="shared" si="492"/>
        <v>3630</v>
      </c>
      <c r="I918" s="71">
        <v>3467</v>
      </c>
      <c r="J918" s="73">
        <v>5000</v>
      </c>
      <c r="K918" s="74">
        <v>-1000</v>
      </c>
      <c r="L918" s="74">
        <f t="shared" si="494"/>
        <v>4000</v>
      </c>
      <c r="M918" s="92">
        <v>2500</v>
      </c>
      <c r="N918" s="74">
        <f t="shared" si="497"/>
        <v>6500</v>
      </c>
      <c r="O918" s="74">
        <v>8494</v>
      </c>
      <c r="P918" s="67">
        <v>9000</v>
      </c>
      <c r="Q918" s="87">
        <f t="shared" si="487"/>
        <v>0.38461538461538464</v>
      </c>
      <c r="R918" s="203" t="s">
        <v>930</v>
      </c>
    </row>
    <row r="919" spans="1:21" ht="13.5" customHeight="1" x14ac:dyDescent="0.2">
      <c r="A919" s="89"/>
      <c r="B919" s="90" t="s">
        <v>134</v>
      </c>
      <c r="C919" s="72" t="s">
        <v>135</v>
      </c>
      <c r="D919" s="102"/>
      <c r="E919" s="71"/>
      <c r="F919" s="74"/>
      <c r="G919" s="74"/>
      <c r="H919" s="74"/>
      <c r="I919" s="71"/>
      <c r="J919" s="73"/>
      <c r="K919" s="74"/>
      <c r="L919" s="74"/>
      <c r="M919" s="92"/>
      <c r="N919" s="74"/>
      <c r="O919" s="74">
        <v>2133</v>
      </c>
      <c r="P919" s="67">
        <v>500</v>
      </c>
      <c r="Q919" s="87">
        <v>1</v>
      </c>
      <c r="R919" s="203" t="s">
        <v>931</v>
      </c>
    </row>
    <row r="920" spans="1:21" ht="13.5" customHeight="1" x14ac:dyDescent="0.2">
      <c r="A920" s="89"/>
      <c r="B920" s="90">
        <v>5522</v>
      </c>
      <c r="C920" s="72" t="s">
        <v>314</v>
      </c>
      <c r="D920" s="102">
        <v>100</v>
      </c>
      <c r="E920" s="71"/>
      <c r="F920" s="74">
        <f t="shared" si="486"/>
        <v>100</v>
      </c>
      <c r="G920" s="74"/>
      <c r="H920" s="74">
        <f t="shared" si="492"/>
        <v>100</v>
      </c>
      <c r="I920" s="71">
        <v>260</v>
      </c>
      <c r="J920" s="73">
        <v>100</v>
      </c>
      <c r="K920" s="74"/>
      <c r="L920" s="74">
        <f t="shared" si="494"/>
        <v>100</v>
      </c>
      <c r="M920" s="74"/>
      <c r="N920" s="74">
        <f t="shared" si="497"/>
        <v>100</v>
      </c>
      <c r="O920" s="74"/>
      <c r="P920" s="67">
        <v>300</v>
      </c>
      <c r="Q920" s="87">
        <f t="shared" si="487"/>
        <v>2</v>
      </c>
      <c r="R920" s="206"/>
    </row>
    <row r="921" spans="1:21" ht="13.5" customHeight="1" x14ac:dyDescent="0.2">
      <c r="A921" s="89"/>
      <c r="B921" s="90">
        <v>5524</v>
      </c>
      <c r="C921" s="72" t="s">
        <v>932</v>
      </c>
      <c r="D921" s="102"/>
      <c r="E921" s="71"/>
      <c r="F921" s="74"/>
      <c r="G921" s="74"/>
      <c r="H921" s="74"/>
      <c r="I921" s="71"/>
      <c r="J921" s="73"/>
      <c r="K921" s="74"/>
      <c r="L921" s="74"/>
      <c r="M921" s="74"/>
      <c r="N921" s="74"/>
      <c r="O921" s="74"/>
      <c r="P921" s="67"/>
      <c r="Q921" s="87">
        <v>1</v>
      </c>
    </row>
    <row r="922" spans="1:21" ht="13.5" customHeight="1" x14ac:dyDescent="0.2">
      <c r="A922" s="89"/>
      <c r="B922" s="90">
        <v>5525</v>
      </c>
      <c r="C922" s="72" t="s">
        <v>299</v>
      </c>
      <c r="D922" s="102">
        <v>11000</v>
      </c>
      <c r="E922" s="71"/>
      <c r="F922" s="74">
        <f t="shared" si="486"/>
        <v>11000</v>
      </c>
      <c r="G922" s="74"/>
      <c r="H922" s="74">
        <f t="shared" si="492"/>
        <v>11000</v>
      </c>
      <c r="I922" s="71">
        <v>1725</v>
      </c>
      <c r="J922" s="73">
        <v>12000</v>
      </c>
      <c r="K922" s="74">
        <v>-3000</v>
      </c>
      <c r="L922" s="74">
        <f t="shared" si="494"/>
        <v>9000</v>
      </c>
      <c r="M922" s="92">
        <v>3000</v>
      </c>
      <c r="N922" s="74">
        <f t="shared" si="497"/>
        <v>12000</v>
      </c>
      <c r="O922" s="74">
        <v>10114</v>
      </c>
      <c r="P922" s="67">
        <v>15000</v>
      </c>
      <c r="Q922" s="87">
        <f t="shared" si="487"/>
        <v>0.25</v>
      </c>
      <c r="R922" s="214" t="s">
        <v>936</v>
      </c>
      <c r="S922" s="215"/>
      <c r="T922" s="216">
        <f>0.2775*100%</f>
        <v>0.27750000000000002</v>
      </c>
      <c r="U922" s="56" t="s">
        <v>935</v>
      </c>
    </row>
    <row r="923" spans="1:21" ht="13.5" customHeight="1" x14ac:dyDescent="0.2">
      <c r="A923" s="89"/>
      <c r="B923" s="90">
        <v>5540</v>
      </c>
      <c r="C923" s="72" t="s">
        <v>193</v>
      </c>
      <c r="D923" s="102">
        <v>0</v>
      </c>
      <c r="E923" s="71"/>
      <c r="F923" s="74">
        <f t="shared" si="486"/>
        <v>0</v>
      </c>
      <c r="G923" s="74"/>
      <c r="H923" s="74">
        <f t="shared" si="492"/>
        <v>0</v>
      </c>
      <c r="I923" s="71"/>
      <c r="J923" s="73"/>
      <c r="K923" s="74"/>
      <c r="L923" s="74">
        <f t="shared" si="494"/>
        <v>0</v>
      </c>
      <c r="M923" s="74"/>
      <c r="N923" s="74">
        <f t="shared" si="497"/>
        <v>0</v>
      </c>
      <c r="O923" s="74">
        <v>588</v>
      </c>
      <c r="P923" s="67">
        <f>500+3000</f>
        <v>3500</v>
      </c>
      <c r="Q923" s="87">
        <v>1</v>
      </c>
      <c r="R923" s="203" t="s">
        <v>934</v>
      </c>
      <c r="T923" s="206" t="s">
        <v>933</v>
      </c>
    </row>
    <row r="924" spans="1:21" ht="13.5" customHeight="1" x14ac:dyDescent="0.2">
      <c r="A924" s="164" t="s">
        <v>316</v>
      </c>
      <c r="B924" s="147"/>
      <c r="C924" s="148" t="s">
        <v>317</v>
      </c>
      <c r="D924" s="149">
        <v>65000</v>
      </c>
      <c r="E924" s="150"/>
      <c r="F924" s="137">
        <f t="shared" si="486"/>
        <v>65000</v>
      </c>
      <c r="G924" s="137">
        <v>0</v>
      </c>
      <c r="H924" s="137">
        <f>+H925</f>
        <v>65000</v>
      </c>
      <c r="I924" s="151">
        <f>+I925</f>
        <v>65000</v>
      </c>
      <c r="J924" s="189">
        <f>+J925</f>
        <v>65000</v>
      </c>
      <c r="K924" s="137">
        <v>0</v>
      </c>
      <c r="L924" s="137">
        <f>+L925+L926</f>
        <v>65000</v>
      </c>
      <c r="M924" s="137">
        <f t="shared" ref="M924:N924" si="498">+M925+M926</f>
        <v>0</v>
      </c>
      <c r="N924" s="137">
        <f t="shared" si="498"/>
        <v>65000</v>
      </c>
      <c r="O924" s="137">
        <f t="shared" ref="O924:P924" si="499">+O925+O926</f>
        <v>65000</v>
      </c>
      <c r="P924" s="137">
        <f t="shared" si="499"/>
        <v>65000</v>
      </c>
      <c r="Q924" s="87">
        <f t="shared" si="487"/>
        <v>0</v>
      </c>
      <c r="R924" s="203"/>
    </row>
    <row r="925" spans="1:21" ht="13.5" customHeight="1" x14ac:dyDescent="0.2">
      <c r="A925" s="94"/>
      <c r="B925" s="90">
        <v>4521</v>
      </c>
      <c r="C925" s="72" t="s">
        <v>318</v>
      </c>
      <c r="D925" s="102">
        <v>65000</v>
      </c>
      <c r="E925" s="71"/>
      <c r="F925" s="72">
        <v>65000</v>
      </c>
      <c r="G925" s="72"/>
      <c r="H925" s="72">
        <v>65000</v>
      </c>
      <c r="I925" s="71">
        <v>65000</v>
      </c>
      <c r="J925" s="73">
        <v>65000</v>
      </c>
      <c r="K925" s="74"/>
      <c r="L925" s="142">
        <v>65000</v>
      </c>
      <c r="M925" s="142"/>
      <c r="N925" s="142">
        <f>+L925+M925</f>
        <v>65000</v>
      </c>
      <c r="O925" s="142">
        <v>65000</v>
      </c>
      <c r="P925" s="142">
        <v>65000</v>
      </c>
      <c r="Q925" s="87">
        <f t="shared" si="487"/>
        <v>0</v>
      </c>
      <c r="R925" s="204"/>
    </row>
    <row r="926" spans="1:21" ht="12.95" customHeight="1" x14ac:dyDescent="0.2">
      <c r="A926" s="89"/>
      <c r="B926" s="90" t="s">
        <v>105</v>
      </c>
      <c r="C926" s="72" t="s">
        <v>319</v>
      </c>
      <c r="D926" s="43"/>
      <c r="E926" s="71"/>
      <c r="F926" s="72"/>
      <c r="G926" s="72"/>
      <c r="H926" s="72"/>
      <c r="I926" s="71"/>
      <c r="J926" s="73"/>
      <c r="K926" s="74"/>
      <c r="L926" s="141">
        <v>0</v>
      </c>
      <c r="M926" s="141"/>
      <c r="N926" s="141">
        <f>+L926+M926</f>
        <v>0</v>
      </c>
      <c r="O926" s="141">
        <f>+M926+N926</f>
        <v>0</v>
      </c>
      <c r="P926" s="67">
        <f>+M926+N926</f>
        <v>0</v>
      </c>
      <c r="Q926" s="87">
        <v>0</v>
      </c>
      <c r="R926" s="203"/>
    </row>
    <row r="927" spans="1:21" ht="13.5" customHeight="1" x14ac:dyDescent="0.2">
      <c r="A927" s="146" t="s">
        <v>320</v>
      </c>
      <c r="B927" s="147"/>
      <c r="C927" s="148" t="s">
        <v>321</v>
      </c>
      <c r="D927" s="149">
        <v>7660</v>
      </c>
      <c r="E927" s="150"/>
      <c r="F927" s="137">
        <f t="shared" ref="F927:F972" si="500">+E927+D927</f>
        <v>7660</v>
      </c>
      <c r="G927" s="137">
        <v>0</v>
      </c>
      <c r="H927" s="137">
        <f>+H928+H929</f>
        <v>7660</v>
      </c>
      <c r="I927" s="151">
        <f>+I928+I929</f>
        <v>6396</v>
      </c>
      <c r="J927" s="152">
        <f>+J928+J929</f>
        <v>7660</v>
      </c>
      <c r="K927" s="152">
        <f t="shared" ref="K927:L927" si="501">+K928+K929</f>
        <v>0</v>
      </c>
      <c r="L927" s="152">
        <f t="shared" si="501"/>
        <v>7660</v>
      </c>
      <c r="M927" s="152">
        <f t="shared" ref="M927:N927" si="502">+M928+M929</f>
        <v>0</v>
      </c>
      <c r="N927" s="152">
        <f t="shared" si="502"/>
        <v>7660</v>
      </c>
      <c r="O927" s="152">
        <f t="shared" ref="O927:P927" si="503">+O928+O929</f>
        <v>6621</v>
      </c>
      <c r="P927" s="152">
        <f t="shared" si="503"/>
        <v>9132</v>
      </c>
      <c r="Q927" s="87">
        <f t="shared" si="487"/>
        <v>0.19216710182767624</v>
      </c>
      <c r="R927" s="203"/>
    </row>
    <row r="928" spans="1:21" ht="13.5" customHeight="1" x14ac:dyDescent="0.2">
      <c r="A928" s="180"/>
      <c r="B928" s="174">
        <v>4528</v>
      </c>
      <c r="C928" s="103" t="s">
        <v>322</v>
      </c>
      <c r="D928" s="102">
        <v>4760</v>
      </c>
      <c r="E928" s="71"/>
      <c r="F928" s="74">
        <f t="shared" si="500"/>
        <v>4760</v>
      </c>
      <c r="G928" s="74"/>
      <c r="H928" s="74">
        <f>+G928+F928</f>
        <v>4760</v>
      </c>
      <c r="I928" s="71">
        <v>4760</v>
      </c>
      <c r="J928" s="73">
        <v>4760</v>
      </c>
      <c r="K928" s="74"/>
      <c r="L928" s="142">
        <v>4760</v>
      </c>
      <c r="M928" s="142"/>
      <c r="N928" s="142">
        <f>+L928+M928</f>
        <v>4760</v>
      </c>
      <c r="O928" s="142">
        <v>4760</v>
      </c>
      <c r="P928" s="142">
        <v>4760</v>
      </c>
      <c r="Q928" s="87">
        <f t="shared" si="487"/>
        <v>0</v>
      </c>
      <c r="R928" s="204"/>
    </row>
    <row r="929" spans="1:25" ht="13.5" customHeight="1" x14ac:dyDescent="0.2">
      <c r="A929" s="89"/>
      <c r="B929" s="95">
        <v>55</v>
      </c>
      <c r="C929" s="96" t="s">
        <v>104</v>
      </c>
      <c r="D929" s="102">
        <v>2900</v>
      </c>
      <c r="E929" s="71"/>
      <c r="F929" s="74">
        <f t="shared" si="500"/>
        <v>2900</v>
      </c>
      <c r="G929" s="74"/>
      <c r="H929" s="74">
        <f>+G929+F929</f>
        <v>2900</v>
      </c>
      <c r="I929" s="71">
        <v>1636</v>
      </c>
      <c r="J929" s="73">
        <v>2900</v>
      </c>
      <c r="K929" s="74"/>
      <c r="L929" s="170">
        <f>+L930</f>
        <v>2900</v>
      </c>
      <c r="M929" s="170">
        <f t="shared" ref="M929:P929" si="504">+M930</f>
        <v>0</v>
      </c>
      <c r="N929" s="170">
        <f t="shared" si="504"/>
        <v>2900</v>
      </c>
      <c r="O929" s="170">
        <f t="shared" si="504"/>
        <v>1861</v>
      </c>
      <c r="P929" s="170">
        <f t="shared" si="504"/>
        <v>4372</v>
      </c>
      <c r="Q929" s="87">
        <f t="shared" si="487"/>
        <v>0.50758620689655176</v>
      </c>
      <c r="R929" s="203"/>
    </row>
    <row r="930" spans="1:25" ht="13.5" customHeight="1" x14ac:dyDescent="0.2">
      <c r="A930" s="89"/>
      <c r="B930" s="90">
        <v>5511</v>
      </c>
      <c r="C930" s="72" t="s">
        <v>222</v>
      </c>
      <c r="D930" s="102"/>
      <c r="E930" s="71"/>
      <c r="F930" s="74"/>
      <c r="G930" s="74"/>
      <c r="H930" s="74"/>
      <c r="I930" s="71"/>
      <c r="J930" s="73"/>
      <c r="K930" s="74"/>
      <c r="L930" s="98">
        <f>SUM(L931:L935)</f>
        <v>2900</v>
      </c>
      <c r="M930" s="98">
        <f t="shared" ref="M930:O930" si="505">SUM(M931:M935)</f>
        <v>0</v>
      </c>
      <c r="N930" s="74">
        <f t="shared" si="505"/>
        <v>2900</v>
      </c>
      <c r="O930" s="74">
        <f t="shared" si="505"/>
        <v>1861</v>
      </c>
      <c r="P930" s="78">
        <f>SUM(P931:P935)</f>
        <v>4372</v>
      </c>
      <c r="Q930" s="87">
        <f t="shared" si="487"/>
        <v>0.50758620689655176</v>
      </c>
      <c r="R930" s="203" t="s">
        <v>939</v>
      </c>
    </row>
    <row r="931" spans="1:25" s="49" customFormat="1" ht="13.5" customHeight="1" x14ac:dyDescent="0.2">
      <c r="A931" s="184"/>
      <c r="B931" s="185"/>
      <c r="C931" s="154" t="s">
        <v>651</v>
      </c>
      <c r="D931" s="157">
        <v>180</v>
      </c>
      <c r="E931" s="158"/>
      <c r="F931" s="153">
        <f t="shared" si="500"/>
        <v>180</v>
      </c>
      <c r="G931" s="153"/>
      <c r="H931" s="153">
        <f t="shared" ref="H931:H935" si="506">+G931+F931</f>
        <v>180</v>
      </c>
      <c r="I931" s="158"/>
      <c r="J931" s="159"/>
      <c r="K931" s="153"/>
      <c r="L931" s="153">
        <v>2900</v>
      </c>
      <c r="M931" s="153"/>
      <c r="N931" s="153">
        <f t="shared" ref="N931:N935" si="507">+M931+L931</f>
        <v>2900</v>
      </c>
      <c r="O931" s="153">
        <v>1557</v>
      </c>
      <c r="P931" s="155">
        <v>4000</v>
      </c>
      <c r="Q931" s="87">
        <f t="shared" si="487"/>
        <v>0.37931034482758619</v>
      </c>
      <c r="R931" s="203" t="s">
        <v>938</v>
      </c>
      <c r="S931" s="56"/>
      <c r="U931" s="56"/>
      <c r="V931" s="56"/>
      <c r="W931" s="56"/>
      <c r="X931" s="56"/>
      <c r="Y931" s="56"/>
    </row>
    <row r="932" spans="1:25" s="49" customFormat="1" ht="13.5" customHeight="1" x14ac:dyDescent="0.2">
      <c r="A932" s="184"/>
      <c r="B932" s="185"/>
      <c r="C932" s="154" t="s">
        <v>122</v>
      </c>
      <c r="D932" s="157"/>
      <c r="E932" s="158"/>
      <c r="F932" s="153"/>
      <c r="G932" s="153"/>
      <c r="H932" s="153"/>
      <c r="I932" s="158"/>
      <c r="J932" s="159"/>
      <c r="K932" s="153"/>
      <c r="L932" s="153"/>
      <c r="M932" s="153"/>
      <c r="N932" s="153"/>
      <c r="O932" s="153"/>
      <c r="P932" s="155">
        <v>20</v>
      </c>
      <c r="Q932" s="87">
        <v>1</v>
      </c>
      <c r="R932" s="203"/>
      <c r="S932" s="56"/>
      <c r="U932" s="56"/>
      <c r="V932" s="56"/>
      <c r="W932" s="56"/>
      <c r="X932" s="56"/>
      <c r="Y932" s="56"/>
    </row>
    <row r="933" spans="1:25" s="49" customFormat="1" ht="13.5" customHeight="1" x14ac:dyDescent="0.2">
      <c r="A933" s="184"/>
      <c r="B933" s="185"/>
      <c r="C933" s="154" t="s">
        <v>125</v>
      </c>
      <c r="D933" s="157"/>
      <c r="E933" s="158"/>
      <c r="F933" s="153"/>
      <c r="G933" s="153"/>
      <c r="H933" s="153"/>
      <c r="I933" s="158"/>
      <c r="J933" s="159"/>
      <c r="K933" s="153"/>
      <c r="L933" s="153"/>
      <c r="M933" s="153"/>
      <c r="N933" s="153"/>
      <c r="O933" s="153">
        <v>144</v>
      </c>
      <c r="P933" s="155">
        <v>192</v>
      </c>
      <c r="Q933" s="87">
        <v>1</v>
      </c>
      <c r="R933" s="203" t="s">
        <v>940</v>
      </c>
      <c r="S933" s="56"/>
      <c r="U933" s="56"/>
      <c r="V933" s="56"/>
      <c r="W933" s="56"/>
      <c r="X933" s="56"/>
      <c r="Y933" s="56"/>
    </row>
    <row r="934" spans="1:25" s="49" customFormat="1" ht="13.5" customHeight="1" x14ac:dyDescent="0.2">
      <c r="A934" s="184"/>
      <c r="B934" s="185"/>
      <c r="C934" s="154" t="s">
        <v>127</v>
      </c>
      <c r="D934" s="157"/>
      <c r="E934" s="158"/>
      <c r="F934" s="153"/>
      <c r="G934" s="153"/>
      <c r="H934" s="153"/>
      <c r="I934" s="158"/>
      <c r="J934" s="159"/>
      <c r="K934" s="153"/>
      <c r="L934" s="153"/>
      <c r="M934" s="153"/>
      <c r="N934" s="153"/>
      <c r="O934" s="153">
        <v>160</v>
      </c>
      <c r="P934" s="155">
        <v>160</v>
      </c>
      <c r="Q934" s="87">
        <v>1</v>
      </c>
      <c r="R934" s="203" t="s">
        <v>937</v>
      </c>
      <c r="S934" s="56"/>
      <c r="U934" s="56"/>
      <c r="V934" s="56"/>
      <c r="W934" s="56"/>
      <c r="X934" s="56"/>
      <c r="Y934" s="56"/>
    </row>
    <row r="935" spans="1:25" s="49" customFormat="1" ht="13.5" customHeight="1" x14ac:dyDescent="0.2">
      <c r="A935" s="184"/>
      <c r="B935" s="185"/>
      <c r="C935" s="154" t="s">
        <v>128</v>
      </c>
      <c r="D935" s="157">
        <v>0</v>
      </c>
      <c r="E935" s="158"/>
      <c r="F935" s="153">
        <f t="shared" si="500"/>
        <v>0</v>
      </c>
      <c r="G935" s="153"/>
      <c r="H935" s="153">
        <f t="shared" si="506"/>
        <v>0</v>
      </c>
      <c r="I935" s="158">
        <v>480</v>
      </c>
      <c r="J935" s="159"/>
      <c r="K935" s="153"/>
      <c r="L935" s="153">
        <v>0</v>
      </c>
      <c r="M935" s="153"/>
      <c r="N935" s="153">
        <f t="shared" si="507"/>
        <v>0</v>
      </c>
      <c r="O935" s="153"/>
      <c r="P935" s="155">
        <f>+N935+M935</f>
        <v>0</v>
      </c>
      <c r="Q935" s="87">
        <v>0</v>
      </c>
      <c r="R935" s="204"/>
      <c r="S935" s="56"/>
      <c r="U935" s="56"/>
      <c r="V935" s="56"/>
      <c r="W935" s="56"/>
      <c r="X935" s="56"/>
      <c r="Y935" s="56"/>
    </row>
    <row r="936" spans="1:25" ht="14.1" customHeight="1" x14ac:dyDescent="0.2">
      <c r="A936" s="146" t="s">
        <v>323</v>
      </c>
      <c r="B936" s="147"/>
      <c r="C936" s="148" t="s">
        <v>324</v>
      </c>
      <c r="D936" s="149">
        <v>46000</v>
      </c>
      <c r="E936" s="150"/>
      <c r="F936" s="137">
        <f t="shared" si="500"/>
        <v>46000</v>
      </c>
      <c r="G936" s="137">
        <v>0</v>
      </c>
      <c r="H936" s="137">
        <f>+H937+H938</f>
        <v>46000</v>
      </c>
      <c r="I936" s="151">
        <f>+I937+I938</f>
        <v>39963</v>
      </c>
      <c r="J936" s="152">
        <f>+J937+J938</f>
        <v>46600</v>
      </c>
      <c r="K936" s="152">
        <f t="shared" ref="K936:L936" si="508">+K937+K938</f>
        <v>0</v>
      </c>
      <c r="L936" s="152">
        <f t="shared" si="508"/>
        <v>46600</v>
      </c>
      <c r="M936" s="152">
        <f t="shared" ref="M936:N936" si="509">+M937+M938</f>
        <v>10000</v>
      </c>
      <c r="N936" s="152">
        <f t="shared" si="509"/>
        <v>56600</v>
      </c>
      <c r="O936" s="152">
        <f t="shared" ref="O936:P936" si="510">+O937+O938</f>
        <v>51354</v>
      </c>
      <c r="P936" s="152">
        <f t="shared" si="510"/>
        <v>65510</v>
      </c>
      <c r="Q936" s="87">
        <f t="shared" si="487"/>
        <v>0.15742049469964664</v>
      </c>
      <c r="R936" s="203" t="s">
        <v>941</v>
      </c>
    </row>
    <row r="937" spans="1:25" ht="14.1" customHeight="1" x14ac:dyDescent="0.2">
      <c r="A937" s="94"/>
      <c r="B937" s="95">
        <v>50</v>
      </c>
      <c r="C937" s="96" t="s">
        <v>102</v>
      </c>
      <c r="D937" s="43"/>
      <c r="E937" s="71"/>
      <c r="F937" s="98">
        <f t="shared" si="500"/>
        <v>0</v>
      </c>
      <c r="G937" s="98"/>
      <c r="H937" s="98">
        <f>+G937+F937</f>
        <v>0</v>
      </c>
      <c r="I937" s="97">
        <v>602</v>
      </c>
      <c r="J937" s="99">
        <v>600</v>
      </c>
      <c r="K937" s="98"/>
      <c r="L937" s="182">
        <v>600</v>
      </c>
      <c r="M937" s="182"/>
      <c r="N937" s="182">
        <f>+L937+M937</f>
        <v>600</v>
      </c>
      <c r="O937" s="182">
        <v>602</v>
      </c>
      <c r="P937" s="78">
        <v>690</v>
      </c>
      <c r="Q937" s="87">
        <f t="shared" si="487"/>
        <v>0.15</v>
      </c>
      <c r="R937" s="206" t="s">
        <v>1455</v>
      </c>
    </row>
    <row r="938" spans="1:25" ht="14.1" customHeight="1" x14ac:dyDescent="0.2">
      <c r="A938" s="94"/>
      <c r="B938" s="95">
        <v>55</v>
      </c>
      <c r="C938" s="96" t="s">
        <v>104</v>
      </c>
      <c r="D938" s="43">
        <v>46000</v>
      </c>
      <c r="E938" s="71"/>
      <c r="F938" s="98">
        <f t="shared" si="500"/>
        <v>46000</v>
      </c>
      <c r="G938" s="98"/>
      <c r="H938" s="98">
        <f t="shared" ref="H938:H941" si="511">+G938+F938</f>
        <v>46000</v>
      </c>
      <c r="I938" s="97">
        <f>+I939+I940+I941</f>
        <v>39361</v>
      </c>
      <c r="J938" s="99">
        <f>+J939+J940+J941</f>
        <v>46000</v>
      </c>
      <c r="K938" s="98"/>
      <c r="L938" s="170">
        <f>+L939+L940+L941</f>
        <v>46000</v>
      </c>
      <c r="M938" s="170">
        <f t="shared" ref="M938:N938" si="512">+M939+M940+M941</f>
        <v>10000</v>
      </c>
      <c r="N938" s="170">
        <f t="shared" si="512"/>
        <v>56000</v>
      </c>
      <c r="O938" s="170">
        <f t="shared" ref="O938" si="513">+O939+O940+O941</f>
        <v>50752</v>
      </c>
      <c r="P938" s="170">
        <f t="shared" ref="P938" si="514">+P939+P940+P941</f>
        <v>64820</v>
      </c>
      <c r="Q938" s="87">
        <f t="shared" si="487"/>
        <v>0.1575</v>
      </c>
      <c r="R938" s="56" t="s">
        <v>728</v>
      </c>
    </row>
    <row r="939" spans="1:25" ht="13.5" customHeight="1" x14ac:dyDescent="0.2">
      <c r="A939" s="89"/>
      <c r="B939" s="90">
        <v>5500</v>
      </c>
      <c r="C939" s="72" t="s">
        <v>237</v>
      </c>
      <c r="D939" s="102">
        <v>46000</v>
      </c>
      <c r="E939" s="71"/>
      <c r="F939" s="74">
        <f t="shared" si="500"/>
        <v>46000</v>
      </c>
      <c r="G939" s="74"/>
      <c r="H939" s="74">
        <f t="shared" si="511"/>
        <v>46000</v>
      </c>
      <c r="I939" s="71">
        <v>34144</v>
      </c>
      <c r="J939" s="73">
        <v>46000</v>
      </c>
      <c r="K939" s="74"/>
      <c r="L939" s="74">
        <v>46000</v>
      </c>
      <c r="M939" s="92">
        <v>10000</v>
      </c>
      <c r="N939" s="74">
        <f>+L939+M939</f>
        <v>56000</v>
      </c>
      <c r="O939" s="74">
        <v>49500</v>
      </c>
      <c r="P939" s="67">
        <f>100+120+9900+27500+23000+2000</f>
        <v>62620</v>
      </c>
      <c r="Q939" s="87">
        <f t="shared" si="487"/>
        <v>0.11821428571428572</v>
      </c>
      <c r="R939" s="206" t="s">
        <v>1606</v>
      </c>
    </row>
    <row r="940" spans="1:25" ht="13.5" customHeight="1" x14ac:dyDescent="0.2">
      <c r="A940" s="89"/>
      <c r="B940" s="90">
        <v>5514</v>
      </c>
      <c r="C940" s="72" t="s">
        <v>297</v>
      </c>
      <c r="D940" s="43"/>
      <c r="E940" s="71"/>
      <c r="F940" s="74">
        <f t="shared" si="500"/>
        <v>0</v>
      </c>
      <c r="G940" s="74"/>
      <c r="H940" s="74">
        <f t="shared" si="511"/>
        <v>0</v>
      </c>
      <c r="I940" s="71">
        <v>5217</v>
      </c>
      <c r="J940" s="73"/>
      <c r="K940" s="74"/>
      <c r="L940" s="74"/>
      <c r="M940" s="74"/>
      <c r="N940" s="74">
        <f t="shared" ref="N940:O941" si="515">+L940+M940</f>
        <v>0</v>
      </c>
      <c r="O940" s="74">
        <v>1252</v>
      </c>
      <c r="P940" s="67">
        <v>2200</v>
      </c>
      <c r="Q940" s="87">
        <v>1</v>
      </c>
      <c r="R940" s="206" t="s">
        <v>1454</v>
      </c>
      <c r="U940" s="56" t="s">
        <v>942</v>
      </c>
    </row>
    <row r="941" spans="1:25" ht="13.5" customHeight="1" x14ac:dyDescent="0.2">
      <c r="A941" s="89"/>
      <c r="B941" s="90">
        <v>5540</v>
      </c>
      <c r="C941" s="72" t="s">
        <v>193</v>
      </c>
      <c r="D941" s="43"/>
      <c r="E941" s="71"/>
      <c r="F941" s="74">
        <f t="shared" si="500"/>
        <v>0</v>
      </c>
      <c r="G941" s="74"/>
      <c r="H941" s="74">
        <f t="shared" si="511"/>
        <v>0</v>
      </c>
      <c r="I941" s="71"/>
      <c r="J941" s="73"/>
      <c r="K941" s="74"/>
      <c r="L941" s="74"/>
      <c r="M941" s="74"/>
      <c r="N941" s="74">
        <f t="shared" si="515"/>
        <v>0</v>
      </c>
      <c r="O941" s="74">
        <f t="shared" si="515"/>
        <v>0</v>
      </c>
      <c r="P941" s="67">
        <f>+M941+N941</f>
        <v>0</v>
      </c>
      <c r="Q941" s="87">
        <v>0</v>
      </c>
      <c r="R941" s="203"/>
    </row>
    <row r="942" spans="1:25" ht="14.1" customHeight="1" x14ac:dyDescent="0.2">
      <c r="A942" s="146" t="s">
        <v>325</v>
      </c>
      <c r="B942" s="147">
        <v>45</v>
      </c>
      <c r="C942" s="148" t="s">
        <v>326</v>
      </c>
      <c r="D942" s="149">
        <v>5000</v>
      </c>
      <c r="E942" s="151">
        <f>+E943</f>
        <v>7000</v>
      </c>
      <c r="F942" s="137">
        <f t="shared" si="500"/>
        <v>12000</v>
      </c>
      <c r="G942" s="137">
        <v>0</v>
      </c>
      <c r="H942" s="137">
        <f>+H943</f>
        <v>12000</v>
      </c>
      <c r="I942" s="151">
        <f>+I943</f>
        <v>12000</v>
      </c>
      <c r="J942" s="152">
        <f>+J943</f>
        <v>5000</v>
      </c>
      <c r="K942" s="152">
        <f t="shared" ref="K942:P942" si="516">+K943</f>
        <v>0</v>
      </c>
      <c r="L942" s="152">
        <f t="shared" si="516"/>
        <v>5000</v>
      </c>
      <c r="M942" s="152">
        <f t="shared" si="516"/>
        <v>0</v>
      </c>
      <c r="N942" s="152">
        <f t="shared" si="516"/>
        <v>5000</v>
      </c>
      <c r="O942" s="152">
        <f t="shared" si="516"/>
        <v>12000</v>
      </c>
      <c r="P942" s="152">
        <f t="shared" si="516"/>
        <v>10000</v>
      </c>
      <c r="Q942" s="87">
        <f t="shared" si="487"/>
        <v>1</v>
      </c>
      <c r="R942" s="203"/>
    </row>
    <row r="943" spans="1:25" ht="14.1" customHeight="1" x14ac:dyDescent="0.2">
      <c r="A943" s="94" t="s">
        <v>327</v>
      </c>
      <c r="B943" s="95"/>
      <c r="C943" s="96" t="s">
        <v>328</v>
      </c>
      <c r="D943" s="102">
        <v>5000</v>
      </c>
      <c r="E943" s="71">
        <v>7000</v>
      </c>
      <c r="F943" s="74">
        <f t="shared" si="500"/>
        <v>12000</v>
      </c>
      <c r="G943" s="74"/>
      <c r="H943" s="74">
        <v>12000</v>
      </c>
      <c r="I943" s="71">
        <v>12000</v>
      </c>
      <c r="J943" s="73">
        <v>5000</v>
      </c>
      <c r="K943" s="74"/>
      <c r="L943" s="142">
        <v>5000</v>
      </c>
      <c r="M943" s="142"/>
      <c r="N943" s="142">
        <f>+L943+M943</f>
        <v>5000</v>
      </c>
      <c r="O943" s="142">
        <v>12000</v>
      </c>
      <c r="P943" s="142">
        <v>10000</v>
      </c>
      <c r="Q943" s="87">
        <f t="shared" si="487"/>
        <v>1</v>
      </c>
      <c r="R943" s="203" t="s">
        <v>1414</v>
      </c>
      <c r="S943" s="49"/>
      <c r="T943" s="108"/>
    </row>
    <row r="944" spans="1:25" ht="14.1" customHeight="1" x14ac:dyDescent="0.2">
      <c r="A944" s="146" t="s">
        <v>329</v>
      </c>
      <c r="B944" s="147"/>
      <c r="C944" s="148" t="s">
        <v>945</v>
      </c>
      <c r="D944" s="149">
        <v>29400</v>
      </c>
      <c r="E944" s="221"/>
      <c r="F944" s="137">
        <f t="shared" si="500"/>
        <v>29400</v>
      </c>
      <c r="G944" s="137">
        <v>0</v>
      </c>
      <c r="H944" s="137">
        <f>+H945+H946</f>
        <v>29400</v>
      </c>
      <c r="I944" s="151">
        <f>+I945+I946</f>
        <v>25496</v>
      </c>
      <c r="J944" s="152">
        <f>+J945+J946</f>
        <v>31142</v>
      </c>
      <c r="K944" s="152">
        <f t="shared" ref="K944:L944" si="517">+K945+K946</f>
        <v>0</v>
      </c>
      <c r="L944" s="152">
        <f t="shared" si="517"/>
        <v>31142</v>
      </c>
      <c r="M944" s="152">
        <f t="shared" ref="M944:N944" si="518">+M945+M946</f>
        <v>0</v>
      </c>
      <c r="N944" s="152">
        <f t="shared" si="518"/>
        <v>31142</v>
      </c>
      <c r="O944" s="152">
        <f t="shared" ref="O944:P944" si="519">+O945+O946</f>
        <v>26765</v>
      </c>
      <c r="P944" s="152">
        <f t="shared" si="519"/>
        <v>32630</v>
      </c>
      <c r="Q944" s="87">
        <f t="shared" si="487"/>
        <v>4.778113159077773E-2</v>
      </c>
      <c r="R944" s="49" t="s">
        <v>943</v>
      </c>
      <c r="S944" s="49"/>
    </row>
    <row r="945" spans="1:19" ht="14.1" customHeight="1" x14ac:dyDescent="0.2">
      <c r="A945" s="94"/>
      <c r="B945" s="95">
        <v>50</v>
      </c>
      <c r="C945" s="96" t="s">
        <v>102</v>
      </c>
      <c r="D945" s="43">
        <v>24100</v>
      </c>
      <c r="E945" s="158"/>
      <c r="F945" s="98">
        <f t="shared" si="500"/>
        <v>24100</v>
      </c>
      <c r="G945" s="98"/>
      <c r="H945" s="98">
        <f>+G945+F945</f>
        <v>24100</v>
      </c>
      <c r="I945" s="97">
        <v>19337</v>
      </c>
      <c r="J945" s="99">
        <v>26492</v>
      </c>
      <c r="K945" s="98"/>
      <c r="L945" s="139">
        <f>+K945+J945</f>
        <v>26492</v>
      </c>
      <c r="M945" s="139"/>
      <c r="N945" s="182">
        <f t="shared" ref="N945" si="520">+M945+L945</f>
        <v>26492</v>
      </c>
      <c r="O945" s="182">
        <v>22654</v>
      </c>
      <c r="P945" s="78">
        <v>30480</v>
      </c>
      <c r="Q945" s="87">
        <f t="shared" si="487"/>
        <v>0.15053601087120641</v>
      </c>
      <c r="R945" s="203" t="s">
        <v>944</v>
      </c>
    </row>
    <row r="946" spans="1:19" ht="14.1" customHeight="1" x14ac:dyDescent="0.2">
      <c r="A946" s="94"/>
      <c r="B946" s="95">
        <v>55</v>
      </c>
      <c r="C946" s="96" t="s">
        <v>104</v>
      </c>
      <c r="D946" s="43">
        <v>5300</v>
      </c>
      <c r="E946" s="158"/>
      <c r="F946" s="98">
        <f t="shared" si="500"/>
        <v>5300</v>
      </c>
      <c r="G946" s="98"/>
      <c r="H946" s="98">
        <f t="shared" ref="H946:H953" si="521">+G946+F946</f>
        <v>5300</v>
      </c>
      <c r="I946" s="97">
        <f>SUM(I947:I953)</f>
        <v>6159</v>
      </c>
      <c r="J946" s="99">
        <f>SUM(J947:J953)</f>
        <v>4650</v>
      </c>
      <c r="K946" s="98"/>
      <c r="L946" s="170">
        <f>SUM(L947:L953)</f>
        <v>4650</v>
      </c>
      <c r="M946" s="170">
        <f>SUM(M947:M953)</f>
        <v>0</v>
      </c>
      <c r="N946" s="170">
        <f>SUM(N947:N953)</f>
        <v>4650</v>
      </c>
      <c r="O946" s="170">
        <f>SUM(O947:O954)</f>
        <v>4111</v>
      </c>
      <c r="P946" s="170">
        <f>SUM(P947:P953)</f>
        <v>2150</v>
      </c>
      <c r="Q946" s="87">
        <f t="shared" si="487"/>
        <v>-0.5376344086021505</v>
      </c>
      <c r="R946" s="203"/>
      <c r="S946" s="49"/>
    </row>
    <row r="947" spans="1:19" ht="14.1" customHeight="1" x14ac:dyDescent="0.2">
      <c r="A947" s="89"/>
      <c r="B947" s="90">
        <v>5500</v>
      </c>
      <c r="C947" s="72" t="s">
        <v>237</v>
      </c>
      <c r="D947" s="102">
        <v>1000</v>
      </c>
      <c r="E947" s="158"/>
      <c r="F947" s="74">
        <f t="shared" si="500"/>
        <v>1000</v>
      </c>
      <c r="G947" s="74"/>
      <c r="H947" s="74">
        <f t="shared" si="521"/>
        <v>1000</v>
      </c>
      <c r="I947" s="71">
        <v>85</v>
      </c>
      <c r="J947" s="73">
        <v>1000</v>
      </c>
      <c r="K947" s="74"/>
      <c r="L947" s="74">
        <v>1000</v>
      </c>
      <c r="M947" s="74"/>
      <c r="N947" s="74">
        <f>+L947+M947</f>
        <v>1000</v>
      </c>
      <c r="O947" s="74">
        <v>96</v>
      </c>
      <c r="P947" s="67">
        <v>200</v>
      </c>
      <c r="Q947" s="87">
        <f t="shared" si="487"/>
        <v>-0.8</v>
      </c>
      <c r="R947" s="203"/>
      <c r="S947" s="49"/>
    </row>
    <row r="948" spans="1:19" ht="14.1" customHeight="1" x14ac:dyDescent="0.2">
      <c r="A948" s="89"/>
      <c r="B948" s="90">
        <v>5504</v>
      </c>
      <c r="C948" s="72" t="s">
        <v>221</v>
      </c>
      <c r="D948" s="102"/>
      <c r="E948" s="158"/>
      <c r="F948" s="74"/>
      <c r="G948" s="74"/>
      <c r="H948" s="74"/>
      <c r="I948" s="71"/>
      <c r="J948" s="73"/>
      <c r="K948" s="74"/>
      <c r="L948" s="74"/>
      <c r="M948" s="74"/>
      <c r="N948" s="74"/>
      <c r="O948" s="74">
        <v>150</v>
      </c>
      <c r="P948" s="67">
        <v>300</v>
      </c>
      <c r="Q948" s="87">
        <v>1</v>
      </c>
      <c r="R948" s="203"/>
      <c r="S948" s="49"/>
    </row>
    <row r="949" spans="1:19" ht="14.1" customHeight="1" x14ac:dyDescent="0.2">
      <c r="A949" s="89"/>
      <c r="B949" s="90">
        <v>5513</v>
      </c>
      <c r="C949" s="72" t="s">
        <v>243</v>
      </c>
      <c r="D949" s="102">
        <v>2000</v>
      </c>
      <c r="E949" s="158"/>
      <c r="F949" s="74">
        <f t="shared" si="500"/>
        <v>2000</v>
      </c>
      <c r="G949" s="74"/>
      <c r="H949" s="74">
        <f t="shared" si="521"/>
        <v>2000</v>
      </c>
      <c r="I949" s="71">
        <v>94</v>
      </c>
      <c r="J949" s="73">
        <v>1000</v>
      </c>
      <c r="K949" s="74"/>
      <c r="L949" s="74">
        <v>1000</v>
      </c>
      <c r="M949" s="74"/>
      <c r="N949" s="74">
        <f t="shared" ref="N949:N953" si="522">+L949+M949</f>
        <v>1000</v>
      </c>
      <c r="O949" s="74">
        <v>93</v>
      </c>
      <c r="P949" s="67">
        <v>50</v>
      </c>
      <c r="Q949" s="87">
        <f t="shared" si="487"/>
        <v>-0.95</v>
      </c>
      <c r="R949" s="203"/>
      <c r="S949" s="49"/>
    </row>
    <row r="950" spans="1:19" ht="14.1" customHeight="1" x14ac:dyDescent="0.2">
      <c r="A950" s="89"/>
      <c r="B950" s="90">
        <v>5514</v>
      </c>
      <c r="C950" s="72" t="s">
        <v>297</v>
      </c>
      <c r="D950" s="102">
        <v>2300</v>
      </c>
      <c r="E950" s="158"/>
      <c r="F950" s="74">
        <f t="shared" si="500"/>
        <v>2300</v>
      </c>
      <c r="G950" s="74"/>
      <c r="H950" s="74">
        <f t="shared" si="521"/>
        <v>2300</v>
      </c>
      <c r="I950" s="71">
        <v>4800</v>
      </c>
      <c r="J950" s="73">
        <v>2300</v>
      </c>
      <c r="K950" s="74"/>
      <c r="L950" s="74">
        <v>2300</v>
      </c>
      <c r="M950" s="74"/>
      <c r="N950" s="74">
        <f t="shared" si="522"/>
        <v>2300</v>
      </c>
      <c r="O950" s="74">
        <v>1269</v>
      </c>
      <c r="P950" s="67">
        <v>1500</v>
      </c>
      <c r="Q950" s="87">
        <f t="shared" si="487"/>
        <v>-0.34782608695652173</v>
      </c>
      <c r="R950" s="203" t="s">
        <v>946</v>
      </c>
      <c r="S950" s="49"/>
    </row>
    <row r="951" spans="1:19" ht="14.1" customHeight="1" x14ac:dyDescent="0.2">
      <c r="A951" s="89"/>
      <c r="B951" s="90">
        <v>5515</v>
      </c>
      <c r="C951" s="72" t="s">
        <v>133</v>
      </c>
      <c r="D951" s="102"/>
      <c r="E951" s="158"/>
      <c r="F951" s="74"/>
      <c r="G951" s="74"/>
      <c r="H951" s="74"/>
      <c r="I951" s="71"/>
      <c r="J951" s="73"/>
      <c r="K951" s="74"/>
      <c r="L951" s="74"/>
      <c r="M951" s="74"/>
      <c r="N951" s="74"/>
      <c r="O951" s="74">
        <v>1969</v>
      </c>
      <c r="P951" s="67">
        <v>0</v>
      </c>
      <c r="Q951" s="87"/>
      <c r="R951" s="203"/>
      <c r="S951" s="49"/>
    </row>
    <row r="952" spans="1:19" ht="14.1" customHeight="1" x14ac:dyDescent="0.2">
      <c r="A952" s="89"/>
      <c r="B952" s="90">
        <v>5522</v>
      </c>
      <c r="C952" s="72" t="s">
        <v>137</v>
      </c>
      <c r="D952" s="102">
        <v>0</v>
      </c>
      <c r="E952" s="158"/>
      <c r="F952" s="74">
        <f t="shared" si="500"/>
        <v>0</v>
      </c>
      <c r="G952" s="74"/>
      <c r="H952" s="74">
        <f t="shared" si="521"/>
        <v>0</v>
      </c>
      <c r="I952" s="71"/>
      <c r="J952" s="73">
        <v>0</v>
      </c>
      <c r="K952" s="74"/>
      <c r="L952" s="74">
        <v>0</v>
      </c>
      <c r="M952" s="74"/>
      <c r="N952" s="74">
        <f t="shared" si="522"/>
        <v>0</v>
      </c>
      <c r="O952" s="74"/>
      <c r="P952" s="67">
        <v>100</v>
      </c>
      <c r="Q952" s="87" t="e">
        <f t="shared" si="487"/>
        <v>#DIV/0!</v>
      </c>
      <c r="R952" s="203" t="s">
        <v>1143</v>
      </c>
      <c r="S952" s="49"/>
    </row>
    <row r="953" spans="1:19" ht="14.1" customHeight="1" x14ac:dyDescent="0.2">
      <c r="A953" s="89"/>
      <c r="B953" s="90">
        <v>5525</v>
      </c>
      <c r="C953" s="72" t="s">
        <v>299</v>
      </c>
      <c r="D953" s="102">
        <v>0</v>
      </c>
      <c r="E953" s="158"/>
      <c r="F953" s="74">
        <f t="shared" si="500"/>
        <v>0</v>
      </c>
      <c r="G953" s="74"/>
      <c r="H953" s="74">
        <f t="shared" si="521"/>
        <v>0</v>
      </c>
      <c r="I953" s="71">
        <v>1180</v>
      </c>
      <c r="J953" s="73">
        <v>350</v>
      </c>
      <c r="K953" s="74"/>
      <c r="L953" s="74">
        <v>350</v>
      </c>
      <c r="M953" s="74"/>
      <c r="N953" s="74">
        <f t="shared" si="522"/>
        <v>350</v>
      </c>
      <c r="O953" s="74">
        <v>168</v>
      </c>
      <c r="P953" s="67">
        <v>0</v>
      </c>
      <c r="Q953" s="87">
        <f t="shared" si="487"/>
        <v>-1</v>
      </c>
      <c r="R953" s="203" t="s">
        <v>947</v>
      </c>
      <c r="S953" s="49"/>
    </row>
    <row r="954" spans="1:19" ht="14.1" customHeight="1" x14ac:dyDescent="0.2">
      <c r="A954" s="89"/>
      <c r="B954" s="90" t="s">
        <v>164</v>
      </c>
      <c r="C954" s="72" t="s">
        <v>193</v>
      </c>
      <c r="D954" s="102"/>
      <c r="E954" s="158"/>
      <c r="F954" s="74"/>
      <c r="G954" s="74"/>
      <c r="H954" s="74"/>
      <c r="I954" s="71"/>
      <c r="J954" s="73"/>
      <c r="K954" s="73"/>
      <c r="L954" s="73"/>
      <c r="M954" s="73"/>
      <c r="N954" s="73"/>
      <c r="O954" s="73">
        <v>366</v>
      </c>
      <c r="P954" s="67">
        <v>0</v>
      </c>
      <c r="Q954" s="87"/>
      <c r="R954" s="203"/>
      <c r="S954" s="49"/>
    </row>
    <row r="955" spans="1:19" ht="14.1" customHeight="1" x14ac:dyDescent="0.2">
      <c r="A955" s="79" t="s">
        <v>330</v>
      </c>
      <c r="B955" s="80">
        <v>9</v>
      </c>
      <c r="C955" s="81" t="s">
        <v>331</v>
      </c>
      <c r="D955" s="82">
        <v>11385871</v>
      </c>
      <c r="E955" s="83">
        <f>+E961+E988+E1014+E1040+E1067+E1071+E1096+E1120+E1147+E1153+E1155+E1181+E1187+E1189+E1191+E1217+E1223+E1225+E1251+E1257+E1259+E1265+E1267+E1295+E1297+E1299+E1318+E1321+E1334+E1348+E1350+E1360+E1374+E1392+E1401+E1408+E1426+E1428</f>
        <v>195875</v>
      </c>
      <c r="F955" s="86">
        <f t="shared" si="500"/>
        <v>11581746</v>
      </c>
      <c r="G955" s="86">
        <f>+G961+G988+G1014+G1040+G1067+G1071+G1096+G1120+G1147+G1153+G1155+G1181+G1187+G1189+G1191+G1217+G1223+G1225+G1251+G1257+G1259+G1265+G1267+G1295+G1297+G1299+G1318+G1321+G1334+G1348+G1350+G1360+G1374+G1392+G1401+G1408+G1426+G1428</f>
        <v>157126</v>
      </c>
      <c r="H955" s="86">
        <f>+H961+H988+H1014+H1040+H1067+H1071+H1096+H1120+H1147+H1153+H1155+H1181+H1187+H1189+H1191+H1217+H1223+H1225+H1251+H1257+H1259+H1265+H1267+H1295+H1297+H1299+H1318+H1321+H1334+H1348+H1350+H1360+H1374+H1392+H1401+H1408+H1426+H1428</f>
        <v>11738872</v>
      </c>
      <c r="I955" s="83">
        <f>+I961+I988+I1014+I1040+I1067+I1071+I1120+I1147+I1153+I1155+I1181+I1187+I1189+I1191+I1217+I1223+I1225+I1251+I1257+I1259+I1265+I1267+I1295+I1297+I1299+I1318+I1321+I1334+I1348+I1350+I1360+I1374+I1392+I1401+I1408+I1426+I1428</f>
        <v>9044966</v>
      </c>
      <c r="J955" s="82">
        <f t="shared" ref="J955:O955" si="523">+J961+J988+J1014+J1040+J1067+J1071+J1096+J1120+J1147+J1153+J1155+J1181+J1187+J1189+J1191+J1217+J1223+J1225+J1251+J1257+J1259+J1265+J1267+J1295+J1297+J1299+J1318+J1321+J1334+J1348+J1350+J1360+J1374+J1392+J1401+J1408+J1426+J1428</f>
        <v>12995530</v>
      </c>
      <c r="K955" s="82">
        <f t="shared" si="523"/>
        <v>126381.63</v>
      </c>
      <c r="L955" s="82">
        <f t="shared" si="523"/>
        <v>12948011.630000001</v>
      </c>
      <c r="M955" s="82">
        <f t="shared" si="523"/>
        <v>375890</v>
      </c>
      <c r="N955" s="82">
        <f t="shared" si="523"/>
        <v>13323901.630000001</v>
      </c>
      <c r="O955" s="82">
        <f t="shared" si="523"/>
        <v>10463904</v>
      </c>
      <c r="P955" s="82">
        <f>+P961+P988+P1014+P1040+P1067+P1071+P1096+P1120+P1147+P1153+P1155+P1181+P1187+P1189+P1191+P1217+P1223+P1225+P1251+P1257+P1259+P1265+P1267+P1295+P1297+P1299+P1318+P1321+P1334+P1348+P1350+P1360+P1374+P1392+P1401+P1408+P1426+P1428+P1442</f>
        <v>16225867</v>
      </c>
      <c r="Q955" s="87">
        <f t="shared" si="487"/>
        <v>0.21780147066426511</v>
      </c>
      <c r="R955" s="203">
        <f>P955-N955</f>
        <v>2901965.3699999992</v>
      </c>
      <c r="S955" s="49"/>
    </row>
    <row r="956" spans="1:19" ht="14.1" customHeight="1" x14ac:dyDescent="0.2">
      <c r="A956" s="137"/>
      <c r="B956" s="137"/>
      <c r="C956" s="137" t="s">
        <v>1077</v>
      </c>
      <c r="D956" s="137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>
        <f>N958+N959+N957+N960</f>
        <v>13323901.629999999</v>
      </c>
      <c r="O956" s="137">
        <f>O958+O959+O957+O960</f>
        <v>10463904</v>
      </c>
      <c r="P956" s="137">
        <f>P958+P959+P957+P960</f>
        <v>16225867</v>
      </c>
      <c r="Q956" s="87">
        <f t="shared" si="487"/>
        <v>0.21780147066426528</v>
      </c>
      <c r="R956" s="203">
        <f t="shared" ref="R956:R959" si="524">P956-N956</f>
        <v>2901965.370000001</v>
      </c>
      <c r="S956" s="49"/>
    </row>
    <row r="957" spans="1:19" ht="14.1" customHeight="1" x14ac:dyDescent="0.2">
      <c r="A957" s="139"/>
      <c r="B957" s="139">
        <v>45</v>
      </c>
      <c r="C957" s="139" t="s">
        <v>1078</v>
      </c>
      <c r="D957" s="139"/>
      <c r="E957" s="139"/>
      <c r="F957" s="139"/>
      <c r="G957" s="139"/>
      <c r="H957" s="139"/>
      <c r="I957" s="139"/>
      <c r="J957" s="139"/>
      <c r="K957" s="139"/>
      <c r="L957" s="139"/>
      <c r="M957" s="139"/>
      <c r="N957" s="139">
        <f>N962+N989+N1041+N1300+N1319+N1322+N1427+N1335</f>
        <v>66500</v>
      </c>
      <c r="O957" s="139">
        <f>O962+O989+O1041+O1300+O1319+O1322+O1427+O1335</f>
        <v>43421</v>
      </c>
      <c r="P957" s="139">
        <f>P962+P989+P1041+P1300+P1319+P1322+P1427+P1335</f>
        <v>10356</v>
      </c>
      <c r="Q957" s="87">
        <f t="shared" si="487"/>
        <v>-0.84427067669172928</v>
      </c>
      <c r="R957" s="203">
        <f t="shared" si="524"/>
        <v>-56144</v>
      </c>
      <c r="S957" s="204"/>
    </row>
    <row r="958" spans="1:19" ht="14.1" customHeight="1" x14ac:dyDescent="0.2">
      <c r="A958" s="140"/>
      <c r="B958" s="140">
        <v>50</v>
      </c>
      <c r="C958" s="140" t="s">
        <v>1079</v>
      </c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>
        <f>N963+N990+N1015+N1042+N1072+N1097+N1121+N1148+N1154+N1156+N1182+N1188+N1192+N1218+N1224+N1226+N1252+N1258+N1260+N1266+N1268+N1296+N1301+N1323+N1336+N1351+N1361+N1375+N1393+N1402+N1409+N1429</f>
        <v>9469389</v>
      </c>
      <c r="O958" s="140">
        <f>O963+O990+O1015+O1042+O1072+O1097+O1121+O1148+O1154+O1156+O1182+O1188+O1192+O1218+O1224+O1226+O1252+O1258+O1260+O1266+O1268+O1296+O1301+O1323+O1336+O1351+O1361+O1375+O1393+O1402+O1409+O1429</f>
        <v>7323331</v>
      </c>
      <c r="P958" s="67">
        <f>P963+P990+P1015+P1042+P1072+P1097+P1121+P1148+P1154+P1156+P1182+P1188+P1192+P1218+P1224+P1226+P1252+P1258+P1260+P1266+P1268+P1296+P1301+P1323+P1336+P1351+P1361+P1375+P1393+P1402+P1409+P1429+P1443</f>
        <v>11687806</v>
      </c>
      <c r="Q958" s="87">
        <f t="shared" si="487"/>
        <v>0.23427245411504374</v>
      </c>
      <c r="R958" s="203">
        <f t="shared" si="524"/>
        <v>2218417</v>
      </c>
      <c r="S958" s="169" t="s">
        <v>1146</v>
      </c>
    </row>
    <row r="959" spans="1:19" ht="14.1" customHeight="1" x14ac:dyDescent="0.2">
      <c r="A959" s="141"/>
      <c r="B959" s="141">
        <v>55</v>
      </c>
      <c r="C959" s="141" t="s">
        <v>1080</v>
      </c>
      <c r="D959" s="141"/>
      <c r="E959" s="141"/>
      <c r="F959" s="141"/>
      <c r="G959" s="141"/>
      <c r="H959" s="141"/>
      <c r="I959" s="141"/>
      <c r="J959" s="141"/>
      <c r="K959" s="141"/>
      <c r="L959" s="141"/>
      <c r="M959" s="141"/>
      <c r="N959" s="141">
        <f>N964+N991+N1016+N1043+N1068+N1073+N1098+N1122+N1149+N1157+N1183+N1190+N1193+N1219+N1227+N1253+N1261+N1269+N1298+N1302+N1320+N1324+N1337+N1349+N1352+N1362+N1376+N1394+N1403+N1410+N1430</f>
        <v>3788012.63</v>
      </c>
      <c r="O959" s="141">
        <f>O964+O991+O1016+O1043+O1068+O1073+O1098+O1122+O1149+O1157+O1183+O1190+O1193+O1219+O1227+O1253+O1261+O1269+O1298+O1302+O1320+O1324+O1337+O1349+O1352+O1362+O1376+O1394+O1403+O1410+O1430</f>
        <v>3097152</v>
      </c>
      <c r="P959" s="67">
        <f>P964+P991+P1016+P1043+P1068+P1073+P1098+P1122+P1149+P1157+P1183+P1190+P1193+P1219+P1227+P1253+P1261+P1269+P1298+P1302+P1320+P1324+P1337+P1349+P1352+P1362+P1376+P1394+P1403+P1410+P1430+P1444</f>
        <v>4527705</v>
      </c>
      <c r="Q959" s="87">
        <f t="shared" si="487"/>
        <v>0.19527188588069733</v>
      </c>
      <c r="R959" s="203">
        <f t="shared" si="524"/>
        <v>739692.37000000011</v>
      </c>
      <c r="S959" s="49"/>
    </row>
    <row r="960" spans="1:19" ht="14.1" customHeight="1" x14ac:dyDescent="0.2">
      <c r="A960" s="142"/>
      <c r="B960" s="142">
        <v>60</v>
      </c>
      <c r="C960" s="142" t="s">
        <v>1081</v>
      </c>
      <c r="D960" s="145"/>
      <c r="E960" s="142"/>
      <c r="F960" s="142"/>
      <c r="G960" s="142"/>
      <c r="H960" s="142"/>
      <c r="I960" s="142"/>
      <c r="J960" s="145"/>
      <c r="K960" s="142"/>
      <c r="L960" s="142"/>
      <c r="M960" s="142"/>
      <c r="N960" s="142">
        <v>0</v>
      </c>
      <c r="O960" s="142">
        <v>0</v>
      </c>
      <c r="P960" s="142">
        <v>0</v>
      </c>
      <c r="Q960" s="87"/>
      <c r="R960" s="203"/>
      <c r="S960" s="49"/>
    </row>
    <row r="961" spans="1:26" ht="14.1" customHeight="1" x14ac:dyDescent="0.2">
      <c r="A961" s="146" t="s">
        <v>691</v>
      </c>
      <c r="B961" s="147"/>
      <c r="C961" s="148" t="s">
        <v>332</v>
      </c>
      <c r="D961" s="149">
        <v>1717754</v>
      </c>
      <c r="E961" s="150">
        <f>+E962+E963+E964</f>
        <v>-4568</v>
      </c>
      <c r="F961" s="137">
        <f t="shared" si="500"/>
        <v>1713186</v>
      </c>
      <c r="G961" s="137">
        <f>+G962+G963+G964</f>
        <v>5630</v>
      </c>
      <c r="H961" s="137">
        <f>+H962+H963+H964</f>
        <v>1718816</v>
      </c>
      <c r="I961" s="151">
        <f>+I962+I963+I964</f>
        <v>1376298</v>
      </c>
      <c r="J961" s="152">
        <f>+J962+J963+J964</f>
        <v>1932948</v>
      </c>
      <c r="K961" s="152">
        <f>+K962+K963+K964</f>
        <v>1000</v>
      </c>
      <c r="L961" s="152">
        <f t="shared" ref="L961:N961" si="525">+L962+L963+L964</f>
        <v>1933948</v>
      </c>
      <c r="M961" s="152">
        <f t="shared" si="525"/>
        <v>52053</v>
      </c>
      <c r="N961" s="152">
        <f t="shared" si="525"/>
        <v>1986001</v>
      </c>
      <c r="O961" s="152">
        <f t="shared" ref="O961:P961" si="526">+O962+O963+O964</f>
        <v>1619705</v>
      </c>
      <c r="P961" s="152">
        <f t="shared" si="526"/>
        <v>2386408</v>
      </c>
      <c r="Q961" s="87">
        <f t="shared" si="487"/>
        <v>0.20161470210740076</v>
      </c>
      <c r="R961" s="204" t="s">
        <v>999</v>
      </c>
    </row>
    <row r="962" spans="1:26" ht="14.1" customHeight="1" x14ac:dyDescent="0.2">
      <c r="A962" s="89" t="s">
        <v>333</v>
      </c>
      <c r="B962" s="95">
        <v>45</v>
      </c>
      <c r="C962" s="222" t="s">
        <v>334</v>
      </c>
      <c r="D962" s="43">
        <v>4568</v>
      </c>
      <c r="E962" s="71">
        <v>-4568</v>
      </c>
      <c r="F962" s="74">
        <f t="shared" si="500"/>
        <v>0</v>
      </c>
      <c r="G962" s="74"/>
      <c r="H962" s="74">
        <f>+G962+F962</f>
        <v>0</v>
      </c>
      <c r="I962" s="71">
        <v>0</v>
      </c>
      <c r="J962" s="73"/>
      <c r="K962" s="74">
        <v>0</v>
      </c>
      <c r="L962" s="142">
        <v>0</v>
      </c>
      <c r="M962" s="142">
        <v>0</v>
      </c>
      <c r="N962" s="142">
        <f>+M962+L962</f>
        <v>0</v>
      </c>
      <c r="O962" s="142">
        <f>+N962+M962</f>
        <v>0</v>
      </c>
      <c r="P962" s="142"/>
      <c r="Q962" s="204" t="s">
        <v>952</v>
      </c>
      <c r="R962" s="204">
        <v>137900</v>
      </c>
      <c r="S962" s="171"/>
    </row>
    <row r="963" spans="1:26" ht="14.1" customHeight="1" x14ac:dyDescent="0.2">
      <c r="A963" s="89"/>
      <c r="B963" s="95" t="s">
        <v>101</v>
      </c>
      <c r="C963" s="96" t="s">
        <v>102</v>
      </c>
      <c r="D963" s="43">
        <v>1191258</v>
      </c>
      <c r="E963" s="71"/>
      <c r="F963" s="74">
        <f t="shared" si="500"/>
        <v>1191258</v>
      </c>
      <c r="G963" s="74">
        <v>2770</v>
      </c>
      <c r="H963" s="74">
        <f t="shared" ref="H963:H987" si="527">+G963+F963</f>
        <v>1194028</v>
      </c>
      <c r="I963" s="160">
        <v>979819</v>
      </c>
      <c r="J963" s="73">
        <v>1367578</v>
      </c>
      <c r="K963" s="74"/>
      <c r="L963" s="140">
        <v>1367578</v>
      </c>
      <c r="M963" s="223">
        <f>3018-1345</f>
        <v>1673</v>
      </c>
      <c r="N963" s="140">
        <f>+L963+M963</f>
        <v>1369251</v>
      </c>
      <c r="O963" s="140">
        <v>1097953</v>
      </c>
      <c r="P963" s="67">
        <v>1652568</v>
      </c>
      <c r="Q963" s="87">
        <f t="shared" si="487"/>
        <v>0.20691385290206105</v>
      </c>
      <c r="R963" s="203" t="s">
        <v>962</v>
      </c>
      <c r="S963" s="171"/>
      <c r="V963" s="56" t="s">
        <v>1000</v>
      </c>
    </row>
    <row r="964" spans="1:26" ht="14.1" customHeight="1" x14ac:dyDescent="0.2">
      <c r="A964" s="89"/>
      <c r="B964" s="95" t="s">
        <v>103</v>
      </c>
      <c r="C964" s="96" t="s">
        <v>104</v>
      </c>
      <c r="D964" s="43">
        <v>521928</v>
      </c>
      <c r="E964" s="71"/>
      <c r="F964" s="74">
        <f t="shared" si="500"/>
        <v>521928</v>
      </c>
      <c r="G964" s="74">
        <f>+G965+G966+G967+G979+G980+G981+G982+G983+G984+G985+G987</f>
        <v>2860</v>
      </c>
      <c r="H964" s="74">
        <f t="shared" si="527"/>
        <v>524788</v>
      </c>
      <c r="I964" s="71">
        <f>+I965+I966+I967+I979+I980+I981+I982+I983+I984+I985+I987</f>
        <v>396479</v>
      </c>
      <c r="J964" s="73">
        <f>+J965+J966+J967+J979+J980+J981+J982+J983+J984+J985+J987</f>
        <v>565370</v>
      </c>
      <c r="K964" s="73">
        <f t="shared" ref="K964" si="528">+K965+K966+K967+K979+K980+K981+K982+K983+K984+K985+K987</f>
        <v>1000</v>
      </c>
      <c r="L964" s="166">
        <f>+L965+L966+L967+L979+L980+L981+L982+L983+L984+L985+L987</f>
        <v>566370</v>
      </c>
      <c r="M964" s="166">
        <f t="shared" ref="M964:N964" si="529">+M965+M966+M967+M979+M980+M981+M982+M983+M984+M985+M987</f>
        <v>50380</v>
      </c>
      <c r="N964" s="166">
        <f t="shared" si="529"/>
        <v>616750</v>
      </c>
      <c r="O964" s="166">
        <f t="shared" ref="O964" si="530">+O965+O966+O967+O979+O980+O981+O982+O983+O984+O985+O987</f>
        <v>521752</v>
      </c>
      <c r="P964" s="166">
        <f t="shared" ref="P964" si="531">+P965+P966+P967+P979+P980+P981+P982+P983+P984+P985+P987</f>
        <v>733840</v>
      </c>
      <c r="Q964" s="87">
        <f t="shared" si="487"/>
        <v>0.18985002026753142</v>
      </c>
      <c r="R964" s="206"/>
    </row>
    <row r="965" spans="1:26" ht="14.1" customHeight="1" x14ac:dyDescent="0.2">
      <c r="A965" s="89"/>
      <c r="B965" s="90" t="s">
        <v>105</v>
      </c>
      <c r="C965" s="72" t="s">
        <v>115</v>
      </c>
      <c r="D965" s="102">
        <v>3590</v>
      </c>
      <c r="E965" s="71"/>
      <c r="F965" s="74">
        <f t="shared" si="500"/>
        <v>3590</v>
      </c>
      <c r="G965" s="74"/>
      <c r="H965" s="74">
        <f t="shared" si="527"/>
        <v>3590</v>
      </c>
      <c r="I965" s="71">
        <v>3230</v>
      </c>
      <c r="J965" s="73">
        <v>3590</v>
      </c>
      <c r="K965" s="74"/>
      <c r="L965" s="74">
        <v>3590</v>
      </c>
      <c r="M965" s="74"/>
      <c r="N965" s="74">
        <f>+L965+M965</f>
        <v>3590</v>
      </c>
      <c r="O965" s="74">
        <v>2551</v>
      </c>
      <c r="P965" s="67">
        <v>5290</v>
      </c>
      <c r="Q965" s="87">
        <f t="shared" si="487"/>
        <v>0.47353760445682452</v>
      </c>
      <c r="R965" s="224" t="s">
        <v>954</v>
      </c>
    </row>
    <row r="966" spans="1:26" ht="14.1" customHeight="1" x14ac:dyDescent="0.2">
      <c r="A966" s="89"/>
      <c r="B966" s="90" t="s">
        <v>108</v>
      </c>
      <c r="C966" s="172" t="s">
        <v>118</v>
      </c>
      <c r="D966" s="102">
        <v>3000</v>
      </c>
      <c r="E966" s="71"/>
      <c r="F966" s="74">
        <f t="shared" si="500"/>
        <v>3000</v>
      </c>
      <c r="G966" s="74"/>
      <c r="H966" s="74">
        <f t="shared" si="527"/>
        <v>3000</v>
      </c>
      <c r="I966" s="71">
        <v>690</v>
      </c>
      <c r="J966" s="73">
        <v>3000</v>
      </c>
      <c r="K966" s="74"/>
      <c r="L966" s="74">
        <v>3000</v>
      </c>
      <c r="M966" s="74"/>
      <c r="N966" s="74">
        <f>+L966+M966</f>
        <v>3000</v>
      </c>
      <c r="O966" s="74">
        <v>1640</v>
      </c>
      <c r="P966" s="67">
        <v>4660</v>
      </c>
      <c r="Q966" s="87">
        <f t="shared" si="487"/>
        <v>0.55333333333333334</v>
      </c>
      <c r="R966" s="203"/>
      <c r="S966" s="49"/>
    </row>
    <row r="967" spans="1:26" ht="14.1" customHeight="1" x14ac:dyDescent="0.2">
      <c r="A967" s="89"/>
      <c r="B967" s="90" t="s">
        <v>119</v>
      </c>
      <c r="C967" s="172" t="s">
        <v>110</v>
      </c>
      <c r="D967" s="102">
        <v>417638</v>
      </c>
      <c r="E967" s="71"/>
      <c r="F967" s="74">
        <f t="shared" si="500"/>
        <v>417638</v>
      </c>
      <c r="G967" s="74"/>
      <c r="H967" s="74">
        <f t="shared" si="527"/>
        <v>417638</v>
      </c>
      <c r="I967" s="71">
        <f>SUM(I968:I978)</f>
        <v>328685</v>
      </c>
      <c r="J967" s="73">
        <f>SUM(J968:J978)</f>
        <v>448140</v>
      </c>
      <c r="K967" s="73">
        <f t="shared" ref="K967" si="532">SUM(K968:K978)</f>
        <v>-2000</v>
      </c>
      <c r="L967" s="73">
        <f>SUM(L968:L978)</f>
        <v>446140</v>
      </c>
      <c r="M967" s="73">
        <f t="shared" ref="M967:N967" si="533">SUM(M968:M978)</f>
        <v>0</v>
      </c>
      <c r="N967" s="73">
        <f t="shared" si="533"/>
        <v>446140</v>
      </c>
      <c r="O967" s="73">
        <f>SUM(O968:O978)</f>
        <v>371388</v>
      </c>
      <c r="P967" s="127">
        <f t="shared" ref="P967" si="534">SUM(P968:P978)</f>
        <v>499490</v>
      </c>
      <c r="Q967" s="87">
        <f t="shared" si="487"/>
        <v>0.11958129735060744</v>
      </c>
      <c r="R967" s="206" t="s">
        <v>965</v>
      </c>
    </row>
    <row r="968" spans="1:26" s="49" customFormat="1" ht="14.1" customHeight="1" x14ac:dyDescent="0.2">
      <c r="A968" s="184"/>
      <c r="B968" s="185"/>
      <c r="C968" s="154" t="s">
        <v>223</v>
      </c>
      <c r="D968" s="157">
        <v>26000</v>
      </c>
      <c r="E968" s="71"/>
      <c r="F968" s="153">
        <f t="shared" si="500"/>
        <v>26000</v>
      </c>
      <c r="G968" s="153"/>
      <c r="H968" s="153">
        <f t="shared" si="527"/>
        <v>26000</v>
      </c>
      <c r="I968" s="158">
        <v>12810</v>
      </c>
      <c r="J968" s="159">
        <v>35000</v>
      </c>
      <c r="K968" s="153"/>
      <c r="L968" s="159">
        <f t="shared" ref="L968:L972" si="535">+K968+J968</f>
        <v>35000</v>
      </c>
      <c r="M968" s="159"/>
      <c r="N968" s="159">
        <f t="shared" ref="N968:N978" si="536">+M968+L968</f>
        <v>35000</v>
      </c>
      <c r="O968" s="159">
        <v>12640</v>
      </c>
      <c r="P968" s="225">
        <v>70000</v>
      </c>
      <c r="Q968" s="87">
        <f t="shared" si="487"/>
        <v>1</v>
      </c>
      <c r="R968" s="203" t="s">
        <v>956</v>
      </c>
      <c r="S968" s="56"/>
      <c r="U968" s="56"/>
      <c r="V968" s="56"/>
      <c r="W968" s="56"/>
      <c r="X968" s="56"/>
      <c r="Y968" s="56"/>
      <c r="Z968" s="56"/>
    </row>
    <row r="969" spans="1:26" s="49" customFormat="1" ht="14.1" customHeight="1" x14ac:dyDescent="0.2">
      <c r="A969" s="184"/>
      <c r="B969" s="185"/>
      <c r="C969" s="154" t="s">
        <v>335</v>
      </c>
      <c r="D969" s="157">
        <v>28200</v>
      </c>
      <c r="E969" s="71"/>
      <c r="F969" s="153">
        <f t="shared" si="500"/>
        <v>28200</v>
      </c>
      <c r="G969" s="153"/>
      <c r="H969" s="153">
        <f t="shared" si="527"/>
        <v>28200</v>
      </c>
      <c r="I969" s="158">
        <v>17307</v>
      </c>
      <c r="J969" s="159">
        <v>36000</v>
      </c>
      <c r="K969" s="153"/>
      <c r="L969" s="159">
        <f t="shared" si="535"/>
        <v>36000</v>
      </c>
      <c r="M969" s="159"/>
      <c r="N969" s="159">
        <f t="shared" si="536"/>
        <v>36000</v>
      </c>
      <c r="O969" s="159">
        <v>29796</v>
      </c>
      <c r="P969" s="225">
        <v>45000</v>
      </c>
      <c r="Q969" s="87">
        <f t="shared" si="487"/>
        <v>0.25</v>
      </c>
      <c r="R969" s="203" t="s">
        <v>956</v>
      </c>
      <c r="S969" s="56"/>
      <c r="U969" s="56"/>
      <c r="V969" s="56"/>
      <c r="W969" s="56"/>
      <c r="X969" s="56"/>
      <c r="Y969" s="56"/>
      <c r="Z969" s="56"/>
    </row>
    <row r="970" spans="1:26" s="49" customFormat="1" ht="14.1" customHeight="1" x14ac:dyDescent="0.2">
      <c r="A970" s="184"/>
      <c r="B970" s="185"/>
      <c r="C970" s="154" t="s">
        <v>336</v>
      </c>
      <c r="D970" s="157">
        <v>5446</v>
      </c>
      <c r="E970" s="71"/>
      <c r="F970" s="153">
        <f t="shared" si="500"/>
        <v>5446</v>
      </c>
      <c r="G970" s="153"/>
      <c r="H970" s="153">
        <f t="shared" si="527"/>
        <v>5446</v>
      </c>
      <c r="I970" s="158">
        <v>2674</v>
      </c>
      <c r="J970" s="159">
        <v>6500</v>
      </c>
      <c r="K970" s="153"/>
      <c r="L970" s="159">
        <f t="shared" si="535"/>
        <v>6500</v>
      </c>
      <c r="M970" s="159"/>
      <c r="N970" s="159">
        <f t="shared" si="536"/>
        <v>6500</v>
      </c>
      <c r="O970" s="159">
        <v>3598</v>
      </c>
      <c r="P970" s="225">
        <v>4410</v>
      </c>
      <c r="Q970" s="87">
        <f t="shared" si="487"/>
        <v>-0.32153846153846155</v>
      </c>
      <c r="R970" s="203" t="s">
        <v>956</v>
      </c>
      <c r="S970" s="56"/>
      <c r="U970" s="56"/>
      <c r="V970" s="56"/>
      <c r="W970" s="56"/>
      <c r="X970" s="56"/>
      <c r="Y970" s="56"/>
      <c r="Z970" s="56"/>
    </row>
    <row r="971" spans="1:26" s="49" customFormat="1" ht="14.1" customHeight="1" x14ac:dyDescent="0.2">
      <c r="A971" s="184"/>
      <c r="B971" s="185"/>
      <c r="C971" s="154" t="s">
        <v>226</v>
      </c>
      <c r="D971" s="157">
        <v>13000</v>
      </c>
      <c r="E971" s="71"/>
      <c r="F971" s="153">
        <f t="shared" si="500"/>
        <v>13000</v>
      </c>
      <c r="G971" s="153"/>
      <c r="H971" s="153">
        <f t="shared" si="527"/>
        <v>13000</v>
      </c>
      <c r="I971" s="158">
        <v>11462</v>
      </c>
      <c r="J971" s="159">
        <v>15000</v>
      </c>
      <c r="K971" s="153">
        <v>-2000</v>
      </c>
      <c r="L971" s="159">
        <f t="shared" si="535"/>
        <v>13000</v>
      </c>
      <c r="M971" s="159"/>
      <c r="N971" s="159">
        <f t="shared" si="536"/>
        <v>13000</v>
      </c>
      <c r="O971" s="159">
        <v>13626</v>
      </c>
      <c r="P971" s="225">
        <v>14000</v>
      </c>
      <c r="Q971" s="87">
        <f t="shared" si="487"/>
        <v>7.6923076923076927E-2</v>
      </c>
      <c r="R971" s="206" t="s">
        <v>963</v>
      </c>
      <c r="S971" s="56"/>
      <c r="U971" s="56"/>
      <c r="V971" s="56"/>
      <c r="W971" s="56"/>
      <c r="X971" s="56"/>
      <c r="Y971" s="56"/>
      <c r="Z971" s="56"/>
    </row>
    <row r="972" spans="1:26" s="49" customFormat="1" ht="14.1" customHeight="1" x14ac:dyDescent="0.2">
      <c r="A972" s="184"/>
      <c r="B972" s="185"/>
      <c r="C972" s="154" t="s">
        <v>227</v>
      </c>
      <c r="D972" s="157">
        <v>20000</v>
      </c>
      <c r="E972" s="71"/>
      <c r="F972" s="153">
        <f t="shared" si="500"/>
        <v>20000</v>
      </c>
      <c r="G972" s="153"/>
      <c r="H972" s="153">
        <f t="shared" si="527"/>
        <v>20000</v>
      </c>
      <c r="I972" s="158">
        <v>17464</v>
      </c>
      <c r="J972" s="159">
        <v>24200</v>
      </c>
      <c r="K972" s="153"/>
      <c r="L972" s="159">
        <f t="shared" si="535"/>
        <v>24200</v>
      </c>
      <c r="M972" s="159"/>
      <c r="N972" s="159">
        <f t="shared" si="536"/>
        <v>24200</v>
      </c>
      <c r="O972" s="159">
        <v>18545</v>
      </c>
      <c r="P972" s="225">
        <v>15300</v>
      </c>
      <c r="Q972" s="87">
        <f t="shared" si="487"/>
        <v>-0.36776859504132231</v>
      </c>
      <c r="R972" s="203" t="s">
        <v>964</v>
      </c>
      <c r="S972" s="56"/>
      <c r="U972" s="56"/>
      <c r="V972" s="56"/>
      <c r="W972" s="56"/>
      <c r="X972" s="56"/>
      <c r="Y972" s="56"/>
      <c r="Z972" s="56"/>
    </row>
    <row r="973" spans="1:26" s="49" customFormat="1" ht="14.1" customHeight="1" x14ac:dyDescent="0.2">
      <c r="A973" s="184"/>
      <c r="B973" s="185"/>
      <c r="C973" s="154" t="s">
        <v>337</v>
      </c>
      <c r="D973" s="157">
        <v>3000</v>
      </c>
      <c r="E973" s="71"/>
      <c r="F973" s="153">
        <f t="shared" ref="F973:F1005" si="537">+E973+D973</f>
        <v>3000</v>
      </c>
      <c r="G973" s="153"/>
      <c r="H973" s="153">
        <f t="shared" si="527"/>
        <v>3000</v>
      </c>
      <c r="I973" s="158">
        <v>1199</v>
      </c>
      <c r="J973" s="159">
        <v>3300</v>
      </c>
      <c r="K973" s="153"/>
      <c r="L973" s="153">
        <v>3300</v>
      </c>
      <c r="M973" s="153"/>
      <c r="N973" s="159">
        <f t="shared" si="536"/>
        <v>3300</v>
      </c>
      <c r="O973" s="159">
        <v>4023</v>
      </c>
      <c r="P973" s="225">
        <v>5000</v>
      </c>
      <c r="Q973" s="87">
        <f t="shared" si="487"/>
        <v>0.51515151515151514</v>
      </c>
      <c r="S973" s="56"/>
      <c r="U973" s="56"/>
      <c r="V973" s="56"/>
      <c r="W973" s="56"/>
      <c r="X973" s="56"/>
      <c r="Y973" s="56"/>
      <c r="Z973" s="56"/>
    </row>
    <row r="974" spans="1:26" s="49" customFormat="1" ht="14.1" customHeight="1" x14ac:dyDescent="0.2">
      <c r="A974" s="184"/>
      <c r="B974" s="185"/>
      <c r="C974" s="154" t="s">
        <v>230</v>
      </c>
      <c r="D974" s="157">
        <v>0</v>
      </c>
      <c r="E974" s="71"/>
      <c r="F974" s="153">
        <f t="shared" si="537"/>
        <v>0</v>
      </c>
      <c r="G974" s="153"/>
      <c r="H974" s="153">
        <f t="shared" si="527"/>
        <v>0</v>
      </c>
      <c r="I974" s="158"/>
      <c r="J974" s="159"/>
      <c r="K974" s="153"/>
      <c r="L974" s="153"/>
      <c r="M974" s="153"/>
      <c r="N974" s="159">
        <f t="shared" si="536"/>
        <v>0</v>
      </c>
      <c r="O974" s="159"/>
      <c r="P974" s="225"/>
      <c r="Q974" s="87" t="e">
        <f t="shared" si="487"/>
        <v>#DIV/0!</v>
      </c>
      <c r="R974" s="203"/>
      <c r="S974" s="56"/>
      <c r="U974" s="56"/>
      <c r="V974" s="56"/>
      <c r="W974" s="56"/>
      <c r="X974" s="56"/>
      <c r="Y974" s="56"/>
      <c r="Z974" s="56"/>
    </row>
    <row r="975" spans="1:26" s="49" customFormat="1" ht="14.1" customHeight="1" x14ac:dyDescent="0.2">
      <c r="A975" s="184"/>
      <c r="B975" s="185"/>
      <c r="C975" s="154" t="s">
        <v>338</v>
      </c>
      <c r="D975" s="157">
        <v>0</v>
      </c>
      <c r="E975" s="71"/>
      <c r="F975" s="153">
        <f t="shared" si="537"/>
        <v>0</v>
      </c>
      <c r="G975" s="153"/>
      <c r="H975" s="153">
        <f t="shared" si="527"/>
        <v>0</v>
      </c>
      <c r="I975" s="158"/>
      <c r="J975" s="159"/>
      <c r="K975" s="153"/>
      <c r="L975" s="153"/>
      <c r="M975" s="153"/>
      <c r="N975" s="159">
        <f t="shared" si="536"/>
        <v>0</v>
      </c>
      <c r="O975" s="159"/>
      <c r="P975" s="225"/>
      <c r="Q975" s="87" t="e">
        <f t="shared" si="487"/>
        <v>#DIV/0!</v>
      </c>
      <c r="R975" s="203"/>
      <c r="S975" s="56"/>
      <c r="U975" s="56"/>
      <c r="V975" s="56"/>
      <c r="W975" s="56"/>
      <c r="X975" s="56"/>
      <c r="Y975" s="56"/>
      <c r="Z975" s="56"/>
    </row>
    <row r="976" spans="1:26" s="49" customFormat="1" ht="14.1" customHeight="1" x14ac:dyDescent="0.2">
      <c r="A976" s="184"/>
      <c r="B976" s="185"/>
      <c r="C976" s="154" t="s">
        <v>339</v>
      </c>
      <c r="D976" s="157">
        <v>1082</v>
      </c>
      <c r="E976" s="71"/>
      <c r="F976" s="153">
        <f t="shared" si="537"/>
        <v>1082</v>
      </c>
      <c r="G976" s="153"/>
      <c r="H976" s="153">
        <f t="shared" si="527"/>
        <v>1082</v>
      </c>
      <c r="I976" s="158">
        <v>994</v>
      </c>
      <c r="J976" s="159"/>
      <c r="K976" s="153"/>
      <c r="L976" s="153"/>
      <c r="M976" s="153"/>
      <c r="N976" s="159">
        <f t="shared" si="536"/>
        <v>0</v>
      </c>
      <c r="O976" s="159">
        <v>187</v>
      </c>
      <c r="P976" s="225"/>
      <c r="Q976" s="87" t="e">
        <f t="shared" ref="Q976:Q1040" si="538">(P976-N976)/N976</f>
        <v>#DIV/0!</v>
      </c>
      <c r="R976" s="203"/>
      <c r="U976" s="56"/>
      <c r="V976" s="56"/>
      <c r="W976" s="56"/>
      <c r="X976" s="56"/>
      <c r="Y976" s="56"/>
      <c r="Z976" s="56"/>
    </row>
    <row r="977" spans="1:26" s="49" customFormat="1" ht="14.1" customHeight="1" x14ac:dyDescent="0.2">
      <c r="A977" s="184"/>
      <c r="B977" s="185"/>
      <c r="C977" s="154" t="s">
        <v>340</v>
      </c>
      <c r="D977" s="157">
        <v>0</v>
      </c>
      <c r="E977" s="71"/>
      <c r="F977" s="153">
        <f t="shared" si="537"/>
        <v>0</v>
      </c>
      <c r="G977" s="153"/>
      <c r="H977" s="153">
        <f t="shared" si="527"/>
        <v>0</v>
      </c>
      <c r="I977" s="158"/>
      <c r="J977" s="159"/>
      <c r="K977" s="153"/>
      <c r="L977" s="153"/>
      <c r="M977" s="153"/>
      <c r="N977" s="159">
        <f t="shared" si="536"/>
        <v>0</v>
      </c>
      <c r="O977" s="159"/>
      <c r="P977" s="225"/>
      <c r="Q977" s="87" t="e">
        <f t="shared" si="538"/>
        <v>#DIV/0!</v>
      </c>
      <c r="R977" s="203"/>
      <c r="U977" s="56"/>
      <c r="V977" s="56"/>
      <c r="W977" s="56"/>
      <c r="X977" s="56"/>
      <c r="Y977" s="56"/>
      <c r="Z977" s="56"/>
    </row>
    <row r="978" spans="1:26" s="49" customFormat="1" ht="14.1" customHeight="1" x14ac:dyDescent="0.2">
      <c r="A978" s="184"/>
      <c r="B978" s="185"/>
      <c r="C978" s="154" t="s">
        <v>229</v>
      </c>
      <c r="D978" s="157">
        <v>320910</v>
      </c>
      <c r="E978" s="158"/>
      <c r="F978" s="153">
        <f t="shared" si="537"/>
        <v>320910</v>
      </c>
      <c r="G978" s="153"/>
      <c r="H978" s="153">
        <f t="shared" si="527"/>
        <v>320910</v>
      </c>
      <c r="I978" s="158">
        <v>264775</v>
      </c>
      <c r="J978" s="159">
        <v>328140</v>
      </c>
      <c r="K978" s="153"/>
      <c r="L978" s="153">
        <v>328140</v>
      </c>
      <c r="M978" s="153"/>
      <c r="N978" s="159">
        <f t="shared" si="536"/>
        <v>328140</v>
      </c>
      <c r="O978" s="159">
        <v>288973</v>
      </c>
      <c r="P978" s="225">
        <v>345780</v>
      </c>
      <c r="Q978" s="87">
        <f t="shared" si="538"/>
        <v>5.3757542512342292E-2</v>
      </c>
      <c r="R978" s="206" t="s">
        <v>970</v>
      </c>
      <c r="S978" s="226"/>
      <c r="U978" s="56"/>
      <c r="V978" s="56"/>
      <c r="W978" s="56"/>
      <c r="X978" s="56"/>
      <c r="Y978" s="56"/>
      <c r="Z978" s="56"/>
    </row>
    <row r="979" spans="1:26" ht="14.1" customHeight="1" x14ac:dyDescent="0.2">
      <c r="A979" s="89"/>
      <c r="B979" s="90" t="s">
        <v>131</v>
      </c>
      <c r="C979" s="72" t="s">
        <v>112</v>
      </c>
      <c r="D979" s="102">
        <v>4600</v>
      </c>
      <c r="E979" s="71"/>
      <c r="F979" s="74">
        <f t="shared" si="537"/>
        <v>4600</v>
      </c>
      <c r="G979" s="74"/>
      <c r="H979" s="74">
        <f t="shared" si="527"/>
        <v>4600</v>
      </c>
      <c r="I979" s="71">
        <v>1520</v>
      </c>
      <c r="J979" s="73">
        <v>15000</v>
      </c>
      <c r="K979" s="74">
        <v>-5000</v>
      </c>
      <c r="L979" s="74">
        <f>+K979+J979</f>
        <v>10000</v>
      </c>
      <c r="M979" s="74"/>
      <c r="N979" s="74">
        <f t="shared" ref="N979:N987" si="539">+M979+L979</f>
        <v>10000</v>
      </c>
      <c r="O979" s="74">
        <v>9725</v>
      </c>
      <c r="P979" s="67">
        <v>11000</v>
      </c>
      <c r="Q979" s="87">
        <f t="shared" si="538"/>
        <v>0.1</v>
      </c>
      <c r="R979" s="203" t="s">
        <v>968</v>
      </c>
      <c r="S979" s="49"/>
    </row>
    <row r="980" spans="1:26" ht="14.1" customHeight="1" x14ac:dyDescent="0.2">
      <c r="A980" s="89"/>
      <c r="B980" s="90" t="s">
        <v>132</v>
      </c>
      <c r="C980" s="72" t="s">
        <v>133</v>
      </c>
      <c r="D980" s="102">
        <v>7900</v>
      </c>
      <c r="E980" s="71"/>
      <c r="F980" s="74">
        <f t="shared" si="537"/>
        <v>7900</v>
      </c>
      <c r="G980" s="74"/>
      <c r="H980" s="74">
        <f t="shared" si="527"/>
        <v>7900</v>
      </c>
      <c r="I980" s="71">
        <v>7901</v>
      </c>
      <c r="J980" s="73">
        <v>7900</v>
      </c>
      <c r="K980" s="74"/>
      <c r="L980" s="74">
        <f t="shared" ref="L980:L987" si="540">+K980+J980</f>
        <v>7900</v>
      </c>
      <c r="M980" s="74"/>
      <c r="N980" s="74">
        <f t="shared" si="539"/>
        <v>7900</v>
      </c>
      <c r="O980" s="74">
        <v>11383</v>
      </c>
      <c r="P980" s="67">
        <v>8700</v>
      </c>
      <c r="Q980" s="87">
        <f t="shared" si="538"/>
        <v>0.10126582278481013</v>
      </c>
      <c r="R980" s="206" t="s">
        <v>969</v>
      </c>
      <c r="S980" s="49"/>
    </row>
    <row r="981" spans="1:26" ht="14.1" customHeight="1" x14ac:dyDescent="0.2">
      <c r="A981" s="89"/>
      <c r="B981" s="90">
        <v>5516</v>
      </c>
      <c r="C981" s="72" t="s">
        <v>341</v>
      </c>
      <c r="D981" s="102">
        <v>0</v>
      </c>
      <c r="E981" s="71"/>
      <c r="F981" s="74">
        <f t="shared" si="537"/>
        <v>0</v>
      </c>
      <c r="G981" s="74"/>
      <c r="H981" s="74">
        <f t="shared" si="527"/>
        <v>0</v>
      </c>
      <c r="I981" s="71"/>
      <c r="J981" s="73"/>
      <c r="K981" s="74">
        <v>8000</v>
      </c>
      <c r="L981" s="74">
        <f t="shared" si="540"/>
        <v>8000</v>
      </c>
      <c r="M981" s="74"/>
      <c r="N981" s="74">
        <f t="shared" si="539"/>
        <v>8000</v>
      </c>
      <c r="O981" s="74"/>
      <c r="P981" s="67">
        <v>17700</v>
      </c>
      <c r="Q981" s="87">
        <f t="shared" si="538"/>
        <v>1.2124999999999999</v>
      </c>
      <c r="R981" s="203" t="s">
        <v>966</v>
      </c>
      <c r="S981" s="49"/>
    </row>
    <row r="982" spans="1:26" ht="14.1" customHeight="1" x14ac:dyDescent="0.2">
      <c r="A982" s="89"/>
      <c r="B982" s="90" t="s">
        <v>342</v>
      </c>
      <c r="C982" s="72" t="s">
        <v>343</v>
      </c>
      <c r="D982" s="102">
        <v>50200</v>
      </c>
      <c r="E982" s="71"/>
      <c r="F982" s="74">
        <f t="shared" si="537"/>
        <v>50200</v>
      </c>
      <c r="G982" s="74"/>
      <c r="H982" s="74">
        <f t="shared" si="527"/>
        <v>50200</v>
      </c>
      <c r="I982" s="71">
        <v>28840</v>
      </c>
      <c r="J982" s="73">
        <v>50200</v>
      </c>
      <c r="K982" s="74"/>
      <c r="L982" s="74">
        <f t="shared" si="540"/>
        <v>50200</v>
      </c>
      <c r="M982" s="92">
        <v>50000</v>
      </c>
      <c r="N982" s="74">
        <f t="shared" si="539"/>
        <v>100200</v>
      </c>
      <c r="O982" s="74">
        <v>97582</v>
      </c>
      <c r="P982" s="67">
        <v>140000</v>
      </c>
      <c r="Q982" s="87">
        <f t="shared" si="538"/>
        <v>0.39720558882235529</v>
      </c>
      <c r="R982" s="206" t="s">
        <v>967</v>
      </c>
      <c r="S982" s="49"/>
    </row>
    <row r="983" spans="1:26" ht="14.1" customHeight="1" x14ac:dyDescent="0.2">
      <c r="A983" s="89"/>
      <c r="B983" s="90" t="s">
        <v>136</v>
      </c>
      <c r="C983" s="72" t="s">
        <v>137</v>
      </c>
      <c r="D983" s="102">
        <v>1500</v>
      </c>
      <c r="E983" s="71"/>
      <c r="F983" s="74">
        <f t="shared" si="537"/>
        <v>1500</v>
      </c>
      <c r="G983" s="74"/>
      <c r="H983" s="74">
        <f t="shared" si="527"/>
        <v>1500</v>
      </c>
      <c r="I983" s="71">
        <v>851</v>
      </c>
      <c r="J983" s="73">
        <v>1800</v>
      </c>
      <c r="K983" s="74"/>
      <c r="L983" s="74">
        <f t="shared" si="540"/>
        <v>1800</v>
      </c>
      <c r="M983" s="74"/>
      <c r="N983" s="74">
        <f t="shared" si="539"/>
        <v>1800</v>
      </c>
      <c r="O983" s="74">
        <v>487</v>
      </c>
      <c r="P983" s="67">
        <v>1200</v>
      </c>
      <c r="Q983" s="87">
        <f t="shared" si="538"/>
        <v>-0.33333333333333331</v>
      </c>
      <c r="R983" s="203"/>
    </row>
    <row r="984" spans="1:26" ht="14.1" customHeight="1" x14ac:dyDescent="0.2">
      <c r="A984" s="89"/>
      <c r="B984" s="90" t="s">
        <v>344</v>
      </c>
      <c r="C984" s="72" t="s">
        <v>345</v>
      </c>
      <c r="D984" s="102">
        <v>28000</v>
      </c>
      <c r="E984" s="71"/>
      <c r="F984" s="74">
        <f t="shared" si="537"/>
        <v>28000</v>
      </c>
      <c r="G984" s="74">
        <v>2860</v>
      </c>
      <c r="H984" s="74">
        <f t="shared" si="527"/>
        <v>30860</v>
      </c>
      <c r="I984" s="71">
        <v>22681</v>
      </c>
      <c r="J984" s="73">
        <v>30240</v>
      </c>
      <c r="K984" s="74"/>
      <c r="L984" s="74">
        <f t="shared" si="540"/>
        <v>30240</v>
      </c>
      <c r="M984" s="74"/>
      <c r="N984" s="74">
        <f t="shared" si="539"/>
        <v>30240</v>
      </c>
      <c r="O984" s="74">
        <v>23164</v>
      </c>
      <c r="P984" s="67">
        <v>39000</v>
      </c>
      <c r="Q984" s="87">
        <f t="shared" si="538"/>
        <v>0.28968253968253971</v>
      </c>
      <c r="R984" s="204" t="s">
        <v>1359</v>
      </c>
    </row>
    <row r="985" spans="1:26" ht="14.1" customHeight="1" x14ac:dyDescent="0.2">
      <c r="A985" s="89"/>
      <c r="B985" s="90" t="s">
        <v>138</v>
      </c>
      <c r="C985" s="72" t="s">
        <v>139</v>
      </c>
      <c r="D985" s="102">
        <v>2500</v>
      </c>
      <c r="E985" s="71"/>
      <c r="F985" s="74">
        <f t="shared" si="537"/>
        <v>2500</v>
      </c>
      <c r="G985" s="74"/>
      <c r="H985" s="74">
        <f t="shared" si="527"/>
        <v>2500</v>
      </c>
      <c r="I985" s="71">
        <v>807</v>
      </c>
      <c r="J985" s="73">
        <v>2500</v>
      </c>
      <c r="K985" s="74"/>
      <c r="L985" s="74">
        <f t="shared" si="540"/>
        <v>2500</v>
      </c>
      <c r="M985" s="74"/>
      <c r="N985" s="74">
        <f t="shared" si="539"/>
        <v>2500</v>
      </c>
      <c r="O985" s="74">
        <v>352</v>
      </c>
      <c r="P985" s="67">
        <v>3500</v>
      </c>
      <c r="Q985" s="87">
        <f t="shared" si="538"/>
        <v>0.4</v>
      </c>
      <c r="R985" s="203"/>
    </row>
    <row r="986" spans="1:26" ht="14.1" customHeight="1" x14ac:dyDescent="0.2">
      <c r="A986" s="89"/>
      <c r="B986" s="90">
        <v>5532</v>
      </c>
      <c r="C986" s="72" t="s">
        <v>204</v>
      </c>
      <c r="D986" s="102"/>
      <c r="E986" s="71"/>
      <c r="F986" s="74"/>
      <c r="G986" s="74"/>
      <c r="H986" s="74"/>
      <c r="I986" s="71"/>
      <c r="J986" s="73"/>
      <c r="K986" s="74"/>
      <c r="L986" s="74"/>
      <c r="M986" s="74"/>
      <c r="N986" s="74"/>
      <c r="O986" s="74"/>
      <c r="P986" s="67"/>
      <c r="Q986" s="87"/>
      <c r="R986" s="203"/>
    </row>
    <row r="987" spans="1:26" ht="14.1" customHeight="1" x14ac:dyDescent="0.2">
      <c r="A987" s="89"/>
      <c r="B987" s="90" t="s">
        <v>164</v>
      </c>
      <c r="C987" s="72" t="s">
        <v>193</v>
      </c>
      <c r="D987" s="102">
        <v>3000</v>
      </c>
      <c r="E987" s="71"/>
      <c r="F987" s="74">
        <f t="shared" si="537"/>
        <v>3000</v>
      </c>
      <c r="G987" s="74"/>
      <c r="H987" s="74">
        <f t="shared" si="527"/>
        <v>3000</v>
      </c>
      <c r="I987" s="71">
        <v>1274</v>
      </c>
      <c r="J987" s="73">
        <v>3000</v>
      </c>
      <c r="K987" s="74"/>
      <c r="L987" s="74">
        <f t="shared" si="540"/>
        <v>3000</v>
      </c>
      <c r="M987" s="92">
        <v>380</v>
      </c>
      <c r="N987" s="74">
        <f t="shared" si="539"/>
        <v>3380</v>
      </c>
      <c r="O987" s="74">
        <v>3480</v>
      </c>
      <c r="P987" s="67">
        <v>3300</v>
      </c>
      <c r="Q987" s="87">
        <f t="shared" si="538"/>
        <v>-2.3668639053254437E-2</v>
      </c>
      <c r="R987" s="203"/>
      <c r="S987" s="49"/>
    </row>
    <row r="988" spans="1:26" ht="14.1" customHeight="1" x14ac:dyDescent="0.2">
      <c r="A988" s="146" t="s">
        <v>690</v>
      </c>
      <c r="B988" s="147"/>
      <c r="C988" s="148" t="s">
        <v>686</v>
      </c>
      <c r="D988" s="149">
        <v>648896</v>
      </c>
      <c r="E988" s="150"/>
      <c r="F988" s="137">
        <f t="shared" si="537"/>
        <v>648896</v>
      </c>
      <c r="G988" s="137">
        <v>0</v>
      </c>
      <c r="H988" s="137">
        <f>+H989+H990+H991</f>
        <v>648896</v>
      </c>
      <c r="I988" s="151">
        <f>+I989+I990+I991</f>
        <v>474695</v>
      </c>
      <c r="J988" s="152">
        <f>+J989+J990+J991</f>
        <v>768293</v>
      </c>
      <c r="K988" s="152">
        <f t="shared" ref="K988" si="541">+K989+K990+K991</f>
        <v>-23000</v>
      </c>
      <c r="L988" s="152">
        <f>+L989+L990+L991</f>
        <v>745293</v>
      </c>
      <c r="M988" s="152">
        <f t="shared" ref="M988:N988" si="542">+M989+M990+M991</f>
        <v>0</v>
      </c>
      <c r="N988" s="152">
        <f t="shared" si="542"/>
        <v>745293</v>
      </c>
      <c r="O988" s="152">
        <f t="shared" ref="O988:P988" si="543">+O989+O990+O991</f>
        <v>566561</v>
      </c>
      <c r="P988" s="152">
        <f t="shared" si="543"/>
        <v>968845</v>
      </c>
      <c r="Q988" s="87">
        <f t="shared" si="538"/>
        <v>0.29995183102484524</v>
      </c>
      <c r="R988" s="204" t="s">
        <v>998</v>
      </c>
    </row>
    <row r="989" spans="1:26" ht="14.1" customHeight="1" x14ac:dyDescent="0.2">
      <c r="A989" s="89" t="s">
        <v>333</v>
      </c>
      <c r="B989" s="95">
        <v>4500</v>
      </c>
      <c r="C989" s="96" t="s">
        <v>334</v>
      </c>
      <c r="D989" s="43">
        <v>0</v>
      </c>
      <c r="E989" s="71"/>
      <c r="F989" s="74">
        <f t="shared" si="537"/>
        <v>0</v>
      </c>
      <c r="G989" s="74"/>
      <c r="H989" s="74">
        <f>+G989+F989</f>
        <v>0</v>
      </c>
      <c r="I989" s="71">
        <v>0</v>
      </c>
      <c r="J989" s="73">
        <v>0</v>
      </c>
      <c r="K989" s="74"/>
      <c r="L989" s="74">
        <v>0</v>
      </c>
      <c r="M989" s="74">
        <v>0</v>
      </c>
      <c r="N989" s="74">
        <f>+L989+M989</f>
        <v>0</v>
      </c>
      <c r="O989" s="74">
        <f>+M989+N989</f>
        <v>0</v>
      </c>
      <c r="P989" s="67"/>
      <c r="Q989" s="204" t="s">
        <v>952</v>
      </c>
      <c r="R989" s="203">
        <v>146350</v>
      </c>
    </row>
    <row r="990" spans="1:26" ht="14.1" customHeight="1" x14ac:dyDescent="0.2">
      <c r="A990" s="89"/>
      <c r="B990" s="95" t="s">
        <v>101</v>
      </c>
      <c r="C990" s="96" t="s">
        <v>102</v>
      </c>
      <c r="D990" s="43">
        <v>492800</v>
      </c>
      <c r="E990" s="71"/>
      <c r="F990" s="74">
        <f t="shared" si="537"/>
        <v>492800</v>
      </c>
      <c r="G990" s="74"/>
      <c r="H990" s="74">
        <f t="shared" ref="H990:H1013" si="544">+G990+F990</f>
        <v>492800</v>
      </c>
      <c r="I990" s="160">
        <v>390807</v>
      </c>
      <c r="J990" s="73">
        <v>580641</v>
      </c>
      <c r="K990" s="74"/>
      <c r="L990" s="140">
        <v>580641</v>
      </c>
      <c r="M990" s="140"/>
      <c r="N990" s="140">
        <f>+L990+M990</f>
        <v>580641</v>
      </c>
      <c r="O990" s="140">
        <v>456834</v>
      </c>
      <c r="P990" s="67">
        <v>784255</v>
      </c>
      <c r="Q990" s="87">
        <f t="shared" si="538"/>
        <v>0.35067106869821457</v>
      </c>
      <c r="R990" s="203" t="s">
        <v>961</v>
      </c>
      <c r="V990" s="56" t="s">
        <v>996</v>
      </c>
    </row>
    <row r="991" spans="1:26" ht="14.1" customHeight="1" x14ac:dyDescent="0.2">
      <c r="A991" s="89"/>
      <c r="B991" s="95" t="s">
        <v>103</v>
      </c>
      <c r="C991" s="96" t="s">
        <v>104</v>
      </c>
      <c r="D991" s="43">
        <v>156096</v>
      </c>
      <c r="E991" s="71"/>
      <c r="F991" s="74">
        <f t="shared" si="537"/>
        <v>156096</v>
      </c>
      <c r="G991" s="74"/>
      <c r="H991" s="74">
        <f t="shared" si="544"/>
        <v>156096</v>
      </c>
      <c r="I991" s="71">
        <f>+I992+I993+I994+I1005+I1006+I1007+I1008+I1009+I1010+I1011+I1012+I1013</f>
        <v>83888</v>
      </c>
      <c r="J991" s="73">
        <f>+J992+J993+J994+J1005+J1006+J1007+J1008+J1009+J1010+J1011+J1012+J1013</f>
        <v>187652</v>
      </c>
      <c r="K991" s="73">
        <f>+K992+K993+K994+K1005+K1006+K1007+K1008+K1009+K1010+K1011+K1012+K1013</f>
        <v>-23000</v>
      </c>
      <c r="L991" s="166">
        <f>+L992+L993+L994+L1005+L1006+L1007+L1008+L1009+L1010+L1011+L1012+L1013</f>
        <v>164652</v>
      </c>
      <c r="M991" s="166">
        <f t="shared" ref="M991:N991" si="545">+M992+M993+M994+M1005+M1006+M1007+M1008+M1009+M1010+M1011+M1012+M1013</f>
        <v>0</v>
      </c>
      <c r="N991" s="166">
        <f t="shared" si="545"/>
        <v>164652</v>
      </c>
      <c r="O991" s="166">
        <f t="shared" ref="O991" si="546">+O992+O993+O994+O1005+O1006+O1007+O1008+O1009+O1010+O1011+O1012+O1013</f>
        <v>109727</v>
      </c>
      <c r="P991" s="141">
        <f t="shared" ref="P991" si="547">+P992+P993+P994+P1005+P1006+P1007+P1008+P1009+P1010+P1011+P1012+P1013</f>
        <v>184590</v>
      </c>
      <c r="Q991" s="87">
        <f t="shared" si="538"/>
        <v>0.12109175716055681</v>
      </c>
      <c r="R991" s="203"/>
    </row>
    <row r="992" spans="1:26" ht="15" customHeight="1" x14ac:dyDescent="0.2">
      <c r="A992" s="89"/>
      <c r="B992" s="90" t="s">
        <v>105</v>
      </c>
      <c r="C992" s="72" t="s">
        <v>180</v>
      </c>
      <c r="D992" s="102">
        <v>750</v>
      </c>
      <c r="E992" s="71"/>
      <c r="F992" s="74">
        <f t="shared" si="537"/>
        <v>750</v>
      </c>
      <c r="G992" s="74"/>
      <c r="H992" s="74">
        <f t="shared" si="544"/>
        <v>750</v>
      </c>
      <c r="I992" s="71">
        <v>413</v>
      </c>
      <c r="J992" s="73">
        <v>750</v>
      </c>
      <c r="K992" s="74"/>
      <c r="L992" s="74">
        <v>750</v>
      </c>
      <c r="M992" s="74"/>
      <c r="N992" s="74">
        <f>+L992+M992</f>
        <v>750</v>
      </c>
      <c r="O992" s="74">
        <v>550</v>
      </c>
      <c r="P992" s="67">
        <v>900</v>
      </c>
      <c r="Q992" s="87">
        <f t="shared" si="538"/>
        <v>0.2</v>
      </c>
      <c r="R992" s="203"/>
    </row>
    <row r="993" spans="1:26" ht="14.1" customHeight="1" x14ac:dyDescent="0.2">
      <c r="A993" s="89"/>
      <c r="B993" s="90" t="s">
        <v>108</v>
      </c>
      <c r="C993" s="72" t="s">
        <v>118</v>
      </c>
      <c r="D993" s="102">
        <v>2500</v>
      </c>
      <c r="E993" s="71"/>
      <c r="F993" s="74">
        <f t="shared" si="537"/>
        <v>2500</v>
      </c>
      <c r="G993" s="74"/>
      <c r="H993" s="74">
        <f t="shared" si="544"/>
        <v>2500</v>
      </c>
      <c r="I993" s="71">
        <v>164</v>
      </c>
      <c r="J993" s="73">
        <v>2500</v>
      </c>
      <c r="K993" s="74"/>
      <c r="L993" s="74">
        <v>2500</v>
      </c>
      <c r="M993" s="74"/>
      <c r="N993" s="74">
        <f>+L993+M993</f>
        <v>2500</v>
      </c>
      <c r="O993" s="74">
        <v>1032</v>
      </c>
      <c r="P993" s="67">
        <v>3000</v>
      </c>
      <c r="Q993" s="87">
        <f t="shared" si="538"/>
        <v>0.2</v>
      </c>
      <c r="R993" s="203"/>
    </row>
    <row r="994" spans="1:26" ht="14.1" customHeight="1" x14ac:dyDescent="0.2">
      <c r="A994" s="89"/>
      <c r="B994" s="90" t="s">
        <v>119</v>
      </c>
      <c r="C994" s="72" t="s">
        <v>110</v>
      </c>
      <c r="D994" s="102">
        <v>70696</v>
      </c>
      <c r="E994" s="71"/>
      <c r="F994" s="74">
        <f t="shared" si="537"/>
        <v>70696</v>
      </c>
      <c r="G994" s="74"/>
      <c r="H994" s="74">
        <f t="shared" si="544"/>
        <v>70696</v>
      </c>
      <c r="I994" s="71">
        <f>SUM(I995:I1004)</f>
        <v>49211</v>
      </c>
      <c r="J994" s="73">
        <f>SUM(J995:J1004)</f>
        <v>100196</v>
      </c>
      <c r="K994" s="73">
        <f t="shared" ref="K994" si="548">SUM(K995:K1004)</f>
        <v>-18000</v>
      </c>
      <c r="L994" s="73">
        <f>SUM(L995:L1004)</f>
        <v>82196</v>
      </c>
      <c r="M994" s="73">
        <f t="shared" ref="M994:O994" si="549">SUM(M995:M1004)</f>
        <v>0</v>
      </c>
      <c r="N994" s="73">
        <f t="shared" si="549"/>
        <v>82196</v>
      </c>
      <c r="O994" s="73">
        <f t="shared" si="549"/>
        <v>59899</v>
      </c>
      <c r="P994" s="67">
        <f t="shared" ref="P994" si="550">SUM(P995:P1004)</f>
        <v>90820</v>
      </c>
      <c r="Q994" s="87">
        <f t="shared" si="538"/>
        <v>0.10491994744269795</v>
      </c>
      <c r="R994" s="206" t="s">
        <v>953</v>
      </c>
    </row>
    <row r="995" spans="1:26" s="49" customFormat="1" ht="12.75" x14ac:dyDescent="0.2">
      <c r="A995" s="184"/>
      <c r="B995" s="185"/>
      <c r="C995" s="154" t="s">
        <v>223</v>
      </c>
      <c r="D995" s="157">
        <v>13000</v>
      </c>
      <c r="E995" s="71"/>
      <c r="F995" s="153">
        <f t="shared" si="537"/>
        <v>13000</v>
      </c>
      <c r="G995" s="153"/>
      <c r="H995" s="153">
        <f t="shared" si="544"/>
        <v>13000</v>
      </c>
      <c r="I995" s="158">
        <v>9934</v>
      </c>
      <c r="J995" s="159">
        <v>15200</v>
      </c>
      <c r="K995" s="153"/>
      <c r="L995" s="159">
        <f t="shared" ref="L995:L1004" si="551">+K995+J995</f>
        <v>15200</v>
      </c>
      <c r="M995" s="159"/>
      <c r="N995" s="159">
        <f t="shared" ref="N995:N1004" si="552">+M995+L995</f>
        <v>15200</v>
      </c>
      <c r="O995" s="159">
        <v>10890</v>
      </c>
      <c r="P995" s="155">
        <v>21000</v>
      </c>
      <c r="Q995" s="87">
        <f t="shared" si="538"/>
        <v>0.38157894736842107</v>
      </c>
      <c r="R995" s="203" t="s">
        <v>956</v>
      </c>
      <c r="S995" s="56"/>
      <c r="U995" s="56"/>
      <c r="V995" s="56"/>
      <c r="W995" s="56"/>
      <c r="X995" s="56"/>
      <c r="Y995" s="56"/>
      <c r="Z995" s="56"/>
    </row>
    <row r="996" spans="1:26" s="49" customFormat="1" ht="14.1" customHeight="1" x14ac:dyDescent="0.2">
      <c r="A996" s="184"/>
      <c r="B996" s="185"/>
      <c r="C996" s="154" t="s">
        <v>224</v>
      </c>
      <c r="D996" s="157">
        <v>8000</v>
      </c>
      <c r="E996" s="71"/>
      <c r="F996" s="153">
        <f t="shared" si="537"/>
        <v>8000</v>
      </c>
      <c r="G996" s="153"/>
      <c r="H996" s="153">
        <f t="shared" si="544"/>
        <v>8000</v>
      </c>
      <c r="I996" s="158">
        <v>5233</v>
      </c>
      <c r="J996" s="159">
        <v>10800</v>
      </c>
      <c r="K996" s="153"/>
      <c r="L996" s="159">
        <f t="shared" si="551"/>
        <v>10800</v>
      </c>
      <c r="M996" s="159"/>
      <c r="N996" s="159">
        <f t="shared" si="552"/>
        <v>10800</v>
      </c>
      <c r="O996" s="159">
        <v>7396</v>
      </c>
      <c r="P996" s="155">
        <v>16000</v>
      </c>
      <c r="Q996" s="87">
        <f t="shared" si="538"/>
        <v>0.48148148148148145</v>
      </c>
      <c r="R996" s="203" t="s">
        <v>956</v>
      </c>
      <c r="S996" s="171" t="s">
        <v>1358</v>
      </c>
      <c r="U996" s="56"/>
      <c r="V996" s="56"/>
      <c r="W996" s="56"/>
      <c r="X996" s="56"/>
      <c r="Y996" s="56"/>
      <c r="Z996" s="56"/>
    </row>
    <row r="997" spans="1:26" s="49" customFormat="1" ht="14.1" customHeight="1" x14ac:dyDescent="0.2">
      <c r="A997" s="184"/>
      <c r="B997" s="185"/>
      <c r="C997" s="154" t="s">
        <v>225</v>
      </c>
      <c r="D997" s="157">
        <v>3000</v>
      </c>
      <c r="E997" s="71"/>
      <c r="F997" s="153">
        <f t="shared" si="537"/>
        <v>3000</v>
      </c>
      <c r="G997" s="153"/>
      <c r="H997" s="153">
        <f t="shared" si="544"/>
        <v>3000</v>
      </c>
      <c r="I997" s="158">
        <v>1943</v>
      </c>
      <c r="J997" s="159">
        <v>3000</v>
      </c>
      <c r="K997" s="153"/>
      <c r="L997" s="159">
        <f t="shared" si="551"/>
        <v>3000</v>
      </c>
      <c r="M997" s="159"/>
      <c r="N997" s="159">
        <f t="shared" si="552"/>
        <v>3000</v>
      </c>
      <c r="O997" s="159">
        <v>2902</v>
      </c>
      <c r="P997" s="155">
        <v>3500</v>
      </c>
      <c r="Q997" s="87">
        <f t="shared" si="538"/>
        <v>0.16666666666666666</v>
      </c>
      <c r="R997" s="203" t="s">
        <v>956</v>
      </c>
      <c r="S997" s="56"/>
      <c r="U997" s="56"/>
      <c r="V997" s="56"/>
      <c r="W997" s="56"/>
      <c r="X997" s="56"/>
      <c r="Y997" s="56"/>
      <c r="Z997" s="53"/>
    </row>
    <row r="998" spans="1:26" s="49" customFormat="1" ht="14.1" customHeight="1" x14ac:dyDescent="0.2">
      <c r="A998" s="184"/>
      <c r="B998" s="185"/>
      <c r="C998" s="154" t="s">
        <v>613</v>
      </c>
      <c r="D998" s="157">
        <v>5000</v>
      </c>
      <c r="E998" s="71"/>
      <c r="F998" s="153">
        <f t="shared" si="537"/>
        <v>5000</v>
      </c>
      <c r="G998" s="153"/>
      <c r="H998" s="153">
        <f t="shared" si="544"/>
        <v>5000</v>
      </c>
      <c r="I998" s="158">
        <v>5669</v>
      </c>
      <c r="J998" s="159">
        <v>15000</v>
      </c>
      <c r="K998" s="153"/>
      <c r="L998" s="159">
        <f t="shared" si="551"/>
        <v>15000</v>
      </c>
      <c r="M998" s="159"/>
      <c r="N998" s="159">
        <f t="shared" si="552"/>
        <v>15000</v>
      </c>
      <c r="O998" s="159">
        <v>10254</v>
      </c>
      <c r="P998" s="155">
        <v>10000</v>
      </c>
      <c r="Q998" s="87">
        <f t="shared" si="538"/>
        <v>-0.33333333333333331</v>
      </c>
      <c r="R998" s="203" t="s">
        <v>957</v>
      </c>
      <c r="S998" s="56"/>
      <c r="U998" s="56"/>
      <c r="V998" s="56"/>
      <c r="W998" s="56"/>
      <c r="X998" s="56"/>
      <c r="Y998" s="56"/>
      <c r="Z998" s="53"/>
    </row>
    <row r="999" spans="1:26" s="49" customFormat="1" ht="14.1" customHeight="1" x14ac:dyDescent="0.2">
      <c r="A999" s="184"/>
      <c r="B999" s="185"/>
      <c r="C999" s="154" t="s">
        <v>346</v>
      </c>
      <c r="D999" s="157">
        <v>6000</v>
      </c>
      <c r="E999" s="71"/>
      <c r="F999" s="153">
        <f t="shared" si="537"/>
        <v>6000</v>
      </c>
      <c r="G999" s="153"/>
      <c r="H999" s="153">
        <f t="shared" si="544"/>
        <v>6000</v>
      </c>
      <c r="I999" s="158">
        <v>4985</v>
      </c>
      <c r="J999" s="159">
        <v>10000</v>
      </c>
      <c r="K999" s="153">
        <v>-4000</v>
      </c>
      <c r="L999" s="159">
        <f t="shared" si="551"/>
        <v>6000</v>
      </c>
      <c r="M999" s="159"/>
      <c r="N999" s="159">
        <f t="shared" si="552"/>
        <v>6000</v>
      </c>
      <c r="O999" s="159">
        <v>6550</v>
      </c>
      <c r="P999" s="155">
        <v>6700</v>
      </c>
      <c r="Q999" s="87">
        <f t="shared" si="538"/>
        <v>0.11666666666666667</v>
      </c>
      <c r="R999" s="203" t="s">
        <v>958</v>
      </c>
      <c r="S999" s="56"/>
      <c r="U999" s="56"/>
      <c r="V999" s="56"/>
      <c r="W999" s="56"/>
      <c r="X999" s="56"/>
      <c r="Y999" s="56"/>
      <c r="Z999" s="56"/>
    </row>
    <row r="1000" spans="1:26" s="49" customFormat="1" ht="14.1" customHeight="1" x14ac:dyDescent="0.2">
      <c r="A1000" s="184"/>
      <c r="B1000" s="185"/>
      <c r="C1000" s="154" t="s">
        <v>337</v>
      </c>
      <c r="D1000" s="157">
        <v>10000</v>
      </c>
      <c r="E1000" s="71"/>
      <c r="F1000" s="153">
        <f t="shared" si="537"/>
        <v>10000</v>
      </c>
      <c r="G1000" s="153"/>
      <c r="H1000" s="153">
        <f t="shared" si="544"/>
        <v>10000</v>
      </c>
      <c r="I1000" s="158"/>
      <c r="J1000" s="159">
        <v>19000</v>
      </c>
      <c r="K1000" s="153">
        <v>-14000</v>
      </c>
      <c r="L1000" s="159">
        <f t="shared" si="551"/>
        <v>5000</v>
      </c>
      <c r="M1000" s="159"/>
      <c r="N1000" s="159">
        <v>2500</v>
      </c>
      <c r="O1000" s="159">
        <v>1327</v>
      </c>
      <c r="P1000" s="155">
        <v>1500</v>
      </c>
      <c r="Q1000" s="87">
        <f t="shared" si="538"/>
        <v>-0.4</v>
      </c>
      <c r="R1000" s="203" t="s">
        <v>956</v>
      </c>
      <c r="S1000" s="56"/>
      <c r="U1000" s="56"/>
      <c r="V1000" s="56"/>
      <c r="W1000" s="56"/>
      <c r="X1000" s="56"/>
      <c r="Y1000" s="56"/>
      <c r="Z1000" s="56"/>
    </row>
    <row r="1001" spans="1:26" s="49" customFormat="1" ht="14.1" customHeight="1" x14ac:dyDescent="0.2">
      <c r="A1001" s="184"/>
      <c r="B1001" s="185"/>
      <c r="C1001" s="154" t="s">
        <v>230</v>
      </c>
      <c r="D1001" s="157">
        <v>1000</v>
      </c>
      <c r="E1001" s="71"/>
      <c r="F1001" s="153">
        <f t="shared" si="537"/>
        <v>1000</v>
      </c>
      <c r="G1001" s="153"/>
      <c r="H1001" s="153">
        <f t="shared" si="544"/>
        <v>1000</v>
      </c>
      <c r="I1001" s="158">
        <v>841</v>
      </c>
      <c r="J1001" s="159">
        <v>2500</v>
      </c>
      <c r="K1001" s="153"/>
      <c r="L1001" s="159">
        <f t="shared" si="551"/>
        <v>2500</v>
      </c>
      <c r="M1001" s="159"/>
      <c r="N1001" s="159">
        <v>5000</v>
      </c>
      <c r="O1001" s="159"/>
      <c r="P1001" s="155">
        <v>1200</v>
      </c>
      <c r="Q1001" s="87">
        <f t="shared" si="538"/>
        <v>-0.76</v>
      </c>
      <c r="R1001" s="203" t="s">
        <v>959</v>
      </c>
      <c r="S1001" s="56"/>
      <c r="U1001" s="56"/>
      <c r="V1001" s="56"/>
      <c r="W1001" s="56"/>
      <c r="X1001" s="56"/>
      <c r="Y1001" s="56"/>
      <c r="Z1001" s="56"/>
    </row>
    <row r="1002" spans="1:26" s="49" customFormat="1" ht="14.1" customHeight="1" x14ac:dyDescent="0.2">
      <c r="A1002" s="184"/>
      <c r="B1002" s="185"/>
      <c r="C1002" s="154" t="s">
        <v>348</v>
      </c>
      <c r="D1002" s="157">
        <v>0</v>
      </c>
      <c r="E1002" s="158"/>
      <c r="F1002" s="153">
        <f t="shared" si="537"/>
        <v>0</v>
      </c>
      <c r="G1002" s="153"/>
      <c r="H1002" s="153">
        <f t="shared" si="544"/>
        <v>0</v>
      </c>
      <c r="I1002" s="158"/>
      <c r="J1002" s="159"/>
      <c r="K1002" s="153"/>
      <c r="L1002" s="159">
        <f t="shared" si="551"/>
        <v>0</v>
      </c>
      <c r="M1002" s="159"/>
      <c r="N1002" s="159">
        <f t="shared" si="552"/>
        <v>0</v>
      </c>
      <c r="O1002" s="159"/>
      <c r="P1002" s="155">
        <f>+N1002+M1002</f>
        <v>0</v>
      </c>
      <c r="Q1002" s="87" t="e">
        <f t="shared" si="538"/>
        <v>#DIV/0!</v>
      </c>
      <c r="R1002" s="203"/>
      <c r="S1002" s="56"/>
      <c r="U1002" s="56"/>
      <c r="V1002" s="56"/>
      <c r="W1002" s="56"/>
      <c r="X1002" s="56"/>
      <c r="Y1002" s="56"/>
      <c r="Z1002" s="56"/>
    </row>
    <row r="1003" spans="1:26" s="49" customFormat="1" ht="14.1" customHeight="1" x14ac:dyDescent="0.2">
      <c r="A1003" s="184"/>
      <c r="B1003" s="185"/>
      <c r="C1003" s="154" t="s">
        <v>349</v>
      </c>
      <c r="D1003" s="157">
        <v>24696</v>
      </c>
      <c r="E1003" s="71"/>
      <c r="F1003" s="153">
        <f t="shared" si="537"/>
        <v>24696</v>
      </c>
      <c r="G1003" s="153"/>
      <c r="H1003" s="153">
        <f t="shared" si="544"/>
        <v>24696</v>
      </c>
      <c r="I1003" s="158">
        <v>20580</v>
      </c>
      <c r="J1003" s="159">
        <v>24696</v>
      </c>
      <c r="K1003" s="153"/>
      <c r="L1003" s="159">
        <f t="shared" si="551"/>
        <v>24696</v>
      </c>
      <c r="M1003" s="159"/>
      <c r="N1003" s="159">
        <f t="shared" si="552"/>
        <v>24696</v>
      </c>
      <c r="O1003" s="159">
        <v>20580</v>
      </c>
      <c r="P1003" s="155">
        <v>30920</v>
      </c>
      <c r="Q1003" s="87">
        <f t="shared" si="538"/>
        <v>0.25202461937155812</v>
      </c>
      <c r="R1003" s="203" t="s">
        <v>956</v>
      </c>
      <c r="S1003" s="56"/>
      <c r="U1003" s="56"/>
      <c r="V1003" s="56"/>
      <c r="W1003" s="56"/>
      <c r="X1003" s="56"/>
      <c r="Y1003" s="56"/>
    </row>
    <row r="1004" spans="1:26" s="49" customFormat="1" ht="14.1" customHeight="1" x14ac:dyDescent="0.2">
      <c r="A1004" s="184"/>
      <c r="B1004" s="185"/>
      <c r="C1004" s="154" t="s">
        <v>232</v>
      </c>
      <c r="D1004" s="157">
        <v>0</v>
      </c>
      <c r="E1004" s="71"/>
      <c r="F1004" s="153">
        <f t="shared" si="537"/>
        <v>0</v>
      </c>
      <c r="G1004" s="153"/>
      <c r="H1004" s="153">
        <f t="shared" si="544"/>
        <v>0</v>
      </c>
      <c r="I1004" s="158">
        <v>26</v>
      </c>
      <c r="J1004" s="159"/>
      <c r="K1004" s="153"/>
      <c r="L1004" s="159">
        <f t="shared" si="551"/>
        <v>0</v>
      </c>
      <c r="M1004" s="159"/>
      <c r="N1004" s="159">
        <f t="shared" si="552"/>
        <v>0</v>
      </c>
      <c r="O1004" s="159"/>
      <c r="P1004" s="155">
        <f>+N1004+M1004</f>
        <v>0</v>
      </c>
      <c r="Q1004" s="87" t="e">
        <f t="shared" si="538"/>
        <v>#DIV/0!</v>
      </c>
      <c r="R1004" s="203"/>
      <c r="S1004" s="56"/>
      <c r="U1004" s="56"/>
      <c r="V1004" s="56"/>
      <c r="W1004" s="56"/>
      <c r="X1004" s="56"/>
      <c r="Y1004" s="56"/>
    </row>
    <row r="1005" spans="1:26" ht="14.1" customHeight="1" x14ac:dyDescent="0.2">
      <c r="A1005" s="89"/>
      <c r="B1005" s="90" t="s">
        <v>129</v>
      </c>
      <c r="C1005" s="72" t="s">
        <v>350</v>
      </c>
      <c r="D1005" s="102">
        <v>150</v>
      </c>
      <c r="E1005" s="71"/>
      <c r="F1005" s="74">
        <f t="shared" si="537"/>
        <v>150</v>
      </c>
      <c r="G1005" s="74"/>
      <c r="H1005" s="74">
        <f t="shared" si="544"/>
        <v>150</v>
      </c>
      <c r="I1005" s="71">
        <v>0</v>
      </c>
      <c r="J1005" s="73">
        <v>150</v>
      </c>
      <c r="K1005" s="74"/>
      <c r="L1005" s="74">
        <v>150</v>
      </c>
      <c r="M1005" s="74"/>
      <c r="N1005" s="74">
        <f t="shared" ref="N1005:N1013" si="553">+M1005+L1005</f>
        <v>150</v>
      </c>
      <c r="O1005" s="74"/>
      <c r="P1005" s="67">
        <v>100</v>
      </c>
      <c r="Q1005" s="87">
        <f t="shared" si="538"/>
        <v>-0.33333333333333331</v>
      </c>
      <c r="R1005" s="203"/>
      <c r="Z1005" s="49"/>
    </row>
    <row r="1006" spans="1:26" ht="14.1" customHeight="1" x14ac:dyDescent="0.2">
      <c r="A1006" s="89"/>
      <c r="B1006" s="90" t="s">
        <v>131</v>
      </c>
      <c r="C1006" s="72" t="s">
        <v>112</v>
      </c>
      <c r="D1006" s="102">
        <v>6000</v>
      </c>
      <c r="E1006" s="71"/>
      <c r="F1006" s="74">
        <f t="shared" ref="F1006:F1033" si="554">+E1006+D1006</f>
        <v>6000</v>
      </c>
      <c r="G1006" s="74"/>
      <c r="H1006" s="74">
        <f t="shared" si="544"/>
        <v>6000</v>
      </c>
      <c r="I1006" s="71">
        <v>2300</v>
      </c>
      <c r="J1006" s="73">
        <v>6000</v>
      </c>
      <c r="K1006" s="74"/>
      <c r="L1006" s="74">
        <v>6000</v>
      </c>
      <c r="M1006" s="74"/>
      <c r="N1006" s="74">
        <f t="shared" si="553"/>
        <v>6000</v>
      </c>
      <c r="O1006" s="74">
        <v>3090</v>
      </c>
      <c r="P1006" s="67">
        <v>2000</v>
      </c>
      <c r="Q1006" s="87">
        <f t="shared" si="538"/>
        <v>-0.66666666666666663</v>
      </c>
      <c r="R1006" s="203"/>
      <c r="Z1006" s="49"/>
    </row>
    <row r="1007" spans="1:26" ht="14.1" customHeight="1" x14ac:dyDescent="0.2">
      <c r="A1007" s="89"/>
      <c r="B1007" s="90" t="s">
        <v>132</v>
      </c>
      <c r="C1007" s="72" t="s">
        <v>133</v>
      </c>
      <c r="D1007" s="102">
        <v>6000</v>
      </c>
      <c r="E1007" s="71"/>
      <c r="F1007" s="74">
        <f t="shared" si="554"/>
        <v>6000</v>
      </c>
      <c r="G1007" s="74"/>
      <c r="H1007" s="74">
        <f t="shared" si="544"/>
        <v>6000</v>
      </c>
      <c r="I1007" s="71">
        <v>4106</v>
      </c>
      <c r="J1007" s="73">
        <v>6000</v>
      </c>
      <c r="K1007" s="74"/>
      <c r="L1007" s="74">
        <v>6000</v>
      </c>
      <c r="M1007" s="74"/>
      <c r="N1007" s="74">
        <f t="shared" si="553"/>
        <v>6000</v>
      </c>
      <c r="O1007" s="74">
        <v>6423</v>
      </c>
      <c r="P1007" s="67">
        <v>8900</v>
      </c>
      <c r="Q1007" s="87">
        <f t="shared" si="538"/>
        <v>0.48333333333333334</v>
      </c>
      <c r="R1007" s="203" t="s">
        <v>955</v>
      </c>
      <c r="Z1007" s="49"/>
    </row>
    <row r="1008" spans="1:26" ht="14.1" customHeight="1" x14ac:dyDescent="0.2">
      <c r="A1008" s="89"/>
      <c r="B1008" s="90">
        <v>5516</v>
      </c>
      <c r="C1008" s="72" t="s">
        <v>341</v>
      </c>
      <c r="D1008" s="102">
        <v>5500</v>
      </c>
      <c r="E1008" s="71"/>
      <c r="F1008" s="74">
        <f t="shared" si="554"/>
        <v>5500</v>
      </c>
      <c r="G1008" s="74"/>
      <c r="H1008" s="74">
        <f t="shared" si="544"/>
        <v>5500</v>
      </c>
      <c r="I1008" s="71">
        <v>0</v>
      </c>
      <c r="J1008" s="73">
        <v>10000</v>
      </c>
      <c r="K1008" s="74">
        <v>-5000</v>
      </c>
      <c r="L1008" s="74">
        <f>+K1008+J1008</f>
        <v>5000</v>
      </c>
      <c r="M1008" s="74"/>
      <c r="N1008" s="74">
        <f t="shared" si="553"/>
        <v>5000</v>
      </c>
      <c r="O1008" s="74"/>
      <c r="P1008" s="67">
        <v>8200</v>
      </c>
      <c r="Q1008" s="87">
        <f t="shared" si="538"/>
        <v>0.64</v>
      </c>
      <c r="R1008" s="203" t="s">
        <v>956</v>
      </c>
    </row>
    <row r="1009" spans="1:26" ht="14.1" customHeight="1" x14ac:dyDescent="0.2">
      <c r="A1009" s="89"/>
      <c r="B1009" s="90" t="s">
        <v>342</v>
      </c>
      <c r="C1009" s="72" t="s">
        <v>343</v>
      </c>
      <c r="D1009" s="102">
        <v>42000</v>
      </c>
      <c r="E1009" s="71"/>
      <c r="F1009" s="74">
        <f t="shared" si="554"/>
        <v>42000</v>
      </c>
      <c r="G1009" s="74"/>
      <c r="H1009" s="74">
        <f t="shared" si="544"/>
        <v>42000</v>
      </c>
      <c r="I1009" s="71">
        <v>19448</v>
      </c>
      <c r="J1009" s="73">
        <v>38556</v>
      </c>
      <c r="K1009" s="74"/>
      <c r="L1009" s="74">
        <f t="shared" ref="L1009:L1013" si="555">+K1009+J1009</f>
        <v>38556</v>
      </c>
      <c r="M1009" s="74"/>
      <c r="N1009" s="74">
        <f t="shared" si="553"/>
        <v>38556</v>
      </c>
      <c r="O1009" s="74">
        <v>25376</v>
      </c>
      <c r="P1009" s="67">
        <v>50000</v>
      </c>
      <c r="Q1009" s="87">
        <f t="shared" si="538"/>
        <v>0.29681502230521839</v>
      </c>
      <c r="R1009" s="203" t="s">
        <v>960</v>
      </c>
    </row>
    <row r="1010" spans="1:26" ht="14.1" customHeight="1" x14ac:dyDescent="0.2">
      <c r="A1010" s="89"/>
      <c r="B1010" s="90" t="s">
        <v>136</v>
      </c>
      <c r="C1010" s="72" t="s">
        <v>137</v>
      </c>
      <c r="D1010" s="102">
        <v>500</v>
      </c>
      <c r="E1010" s="71"/>
      <c r="F1010" s="74">
        <f t="shared" si="554"/>
        <v>500</v>
      </c>
      <c r="G1010" s="74"/>
      <c r="H1010" s="74">
        <f t="shared" si="544"/>
        <v>500</v>
      </c>
      <c r="I1010" s="71">
        <v>80</v>
      </c>
      <c r="J1010" s="73">
        <v>500</v>
      </c>
      <c r="K1010" s="74"/>
      <c r="L1010" s="74">
        <f t="shared" si="555"/>
        <v>500</v>
      </c>
      <c r="M1010" s="74"/>
      <c r="N1010" s="74">
        <f t="shared" si="553"/>
        <v>500</v>
      </c>
      <c r="O1010" s="74">
        <v>85</v>
      </c>
      <c r="P1010" s="67">
        <v>670</v>
      </c>
      <c r="Q1010" s="87">
        <f t="shared" si="538"/>
        <v>0.34</v>
      </c>
      <c r="R1010" s="203"/>
    </row>
    <row r="1011" spans="1:26" ht="14.1" customHeight="1" x14ac:dyDescent="0.2">
      <c r="A1011" s="89"/>
      <c r="B1011" s="90" t="s">
        <v>344</v>
      </c>
      <c r="C1011" s="72" t="s">
        <v>351</v>
      </c>
      <c r="D1011" s="102">
        <v>15000</v>
      </c>
      <c r="E1011" s="71"/>
      <c r="F1011" s="74">
        <f t="shared" si="554"/>
        <v>15000</v>
      </c>
      <c r="G1011" s="74"/>
      <c r="H1011" s="74">
        <f t="shared" si="544"/>
        <v>15000</v>
      </c>
      <c r="I1011" s="71">
        <v>6143</v>
      </c>
      <c r="J1011" s="73">
        <v>16000</v>
      </c>
      <c r="K1011" s="74"/>
      <c r="L1011" s="74">
        <f t="shared" si="555"/>
        <v>16000</v>
      </c>
      <c r="M1011" s="74"/>
      <c r="N1011" s="74">
        <f t="shared" si="553"/>
        <v>16000</v>
      </c>
      <c r="O1011" s="74">
        <v>9243</v>
      </c>
      <c r="P1011" s="67">
        <v>14000</v>
      </c>
      <c r="Q1011" s="87">
        <f t="shared" si="538"/>
        <v>-0.125</v>
      </c>
      <c r="R1011" s="204" t="s">
        <v>1359</v>
      </c>
    </row>
    <row r="1012" spans="1:26" ht="14.1" customHeight="1" x14ac:dyDescent="0.2">
      <c r="A1012" s="89"/>
      <c r="B1012" s="90" t="s">
        <v>138</v>
      </c>
      <c r="C1012" s="72" t="s">
        <v>139</v>
      </c>
      <c r="D1012" s="102">
        <v>3000</v>
      </c>
      <c r="E1012" s="71"/>
      <c r="F1012" s="74">
        <f t="shared" si="554"/>
        <v>3000</v>
      </c>
      <c r="G1012" s="74"/>
      <c r="H1012" s="74">
        <f t="shared" si="544"/>
        <v>3000</v>
      </c>
      <c r="I1012" s="71">
        <v>1009</v>
      </c>
      <c r="J1012" s="73">
        <v>3000</v>
      </c>
      <c r="K1012" s="74"/>
      <c r="L1012" s="74">
        <f t="shared" si="555"/>
        <v>3000</v>
      </c>
      <c r="M1012" s="74"/>
      <c r="N1012" s="74">
        <f t="shared" si="553"/>
        <v>3000</v>
      </c>
      <c r="O1012" s="74">
        <v>1826</v>
      </c>
      <c r="P1012" s="67">
        <v>2000</v>
      </c>
      <c r="Q1012" s="87">
        <f t="shared" si="538"/>
        <v>-0.33333333333333331</v>
      </c>
      <c r="R1012" s="203"/>
    </row>
    <row r="1013" spans="1:26" ht="14.1" customHeight="1" x14ac:dyDescent="0.2">
      <c r="A1013" s="89"/>
      <c r="B1013" s="90" t="s">
        <v>164</v>
      </c>
      <c r="C1013" s="72" t="s">
        <v>193</v>
      </c>
      <c r="D1013" s="102">
        <v>4000</v>
      </c>
      <c r="E1013" s="71"/>
      <c r="F1013" s="74">
        <f t="shared" si="554"/>
        <v>4000</v>
      </c>
      <c r="G1013" s="74"/>
      <c r="H1013" s="74">
        <f t="shared" si="544"/>
        <v>4000</v>
      </c>
      <c r="I1013" s="71">
        <v>1014</v>
      </c>
      <c r="J1013" s="73">
        <v>4000</v>
      </c>
      <c r="K1013" s="74"/>
      <c r="L1013" s="74">
        <f t="shared" si="555"/>
        <v>4000</v>
      </c>
      <c r="M1013" s="74"/>
      <c r="N1013" s="74">
        <f t="shared" si="553"/>
        <v>4000</v>
      </c>
      <c r="O1013" s="74">
        <v>2203</v>
      </c>
      <c r="P1013" s="67">
        <v>4000</v>
      </c>
      <c r="Q1013" s="87">
        <f t="shared" si="538"/>
        <v>0</v>
      </c>
      <c r="R1013" s="203"/>
    </row>
    <row r="1014" spans="1:26" s="53" customFormat="1" ht="14.1" customHeight="1" x14ac:dyDescent="0.2">
      <c r="A1014" s="146" t="s">
        <v>692</v>
      </c>
      <c r="B1014" s="147"/>
      <c r="C1014" s="148" t="s">
        <v>352</v>
      </c>
      <c r="D1014" s="149">
        <v>218150</v>
      </c>
      <c r="E1014" s="150"/>
      <c r="F1014" s="137">
        <f t="shared" si="554"/>
        <v>218150</v>
      </c>
      <c r="G1014" s="137">
        <v>0</v>
      </c>
      <c r="H1014" s="137">
        <f>+H1015+H1016</f>
        <v>218150</v>
      </c>
      <c r="I1014" s="151">
        <f>+I1015+I1016</f>
        <v>176759</v>
      </c>
      <c r="J1014" s="152">
        <f>+J1015+J1016</f>
        <v>225493</v>
      </c>
      <c r="K1014" s="152">
        <f t="shared" ref="K1014:L1014" si="556">+K1015+K1016</f>
        <v>-9000</v>
      </c>
      <c r="L1014" s="152">
        <f t="shared" si="556"/>
        <v>216493</v>
      </c>
      <c r="M1014" s="152">
        <f t="shared" ref="M1014:N1014" si="557">+M1015+M1016</f>
        <v>0</v>
      </c>
      <c r="N1014" s="152">
        <f t="shared" si="557"/>
        <v>216493</v>
      </c>
      <c r="O1014" s="152">
        <f t="shared" ref="O1014:P1014" si="558">+O1015+O1016</f>
        <v>166709</v>
      </c>
      <c r="P1014" s="152">
        <f t="shared" si="558"/>
        <v>231350</v>
      </c>
      <c r="Q1014" s="87">
        <f t="shared" si="538"/>
        <v>6.8625775429228653E-2</v>
      </c>
      <c r="R1014" s="204" t="s">
        <v>1472</v>
      </c>
      <c r="S1014" s="56"/>
      <c r="U1014" s="215" t="s">
        <v>1474</v>
      </c>
      <c r="V1014" s="56"/>
      <c r="W1014" s="56"/>
      <c r="X1014" s="56"/>
      <c r="Y1014" s="56"/>
      <c r="Z1014" s="56"/>
    </row>
    <row r="1015" spans="1:26" s="167" customFormat="1" ht="14.1" customHeight="1" x14ac:dyDescent="0.2">
      <c r="A1015" s="176"/>
      <c r="B1015" s="177" t="s">
        <v>101</v>
      </c>
      <c r="C1015" s="178" t="s">
        <v>102</v>
      </c>
      <c r="D1015" s="43">
        <v>157900</v>
      </c>
      <c r="E1015" s="71"/>
      <c r="F1015" s="98">
        <f t="shared" si="554"/>
        <v>157900</v>
      </c>
      <c r="G1015" s="98"/>
      <c r="H1015" s="98">
        <f>+G1015+F1015</f>
        <v>157900</v>
      </c>
      <c r="I1015" s="97">
        <v>127020</v>
      </c>
      <c r="J1015" s="99">
        <v>167443</v>
      </c>
      <c r="K1015" s="98"/>
      <c r="L1015" s="182">
        <f>+K1015+J1015</f>
        <v>167443</v>
      </c>
      <c r="M1015" s="182"/>
      <c r="N1015" s="182">
        <f t="shared" ref="N1015:N1032" si="559">+M1015+L1015</f>
        <v>167443</v>
      </c>
      <c r="O1015" s="182">
        <v>134722</v>
      </c>
      <c r="P1015" s="78">
        <v>173251</v>
      </c>
      <c r="Q1015" s="87">
        <f t="shared" si="538"/>
        <v>3.4686430606236149E-2</v>
      </c>
      <c r="R1015" s="203" t="s">
        <v>962</v>
      </c>
      <c r="S1015" s="56"/>
      <c r="T1015" s="56"/>
      <c r="U1015" s="56"/>
      <c r="V1015" s="56"/>
      <c r="W1015" s="56"/>
      <c r="X1015" s="56"/>
      <c r="Y1015" s="56"/>
      <c r="Z1015" s="56"/>
    </row>
    <row r="1016" spans="1:26" ht="14.1" customHeight="1" x14ac:dyDescent="0.2">
      <c r="A1016" s="89"/>
      <c r="B1016" s="95" t="s">
        <v>103</v>
      </c>
      <c r="C1016" s="96" t="s">
        <v>104</v>
      </c>
      <c r="D1016" s="43">
        <v>60250</v>
      </c>
      <c r="E1016" s="71"/>
      <c r="F1016" s="98">
        <f t="shared" si="554"/>
        <v>60250</v>
      </c>
      <c r="G1016" s="98"/>
      <c r="H1016" s="98">
        <f t="shared" ref="H1016:H1039" si="560">+G1016+F1016</f>
        <v>60250</v>
      </c>
      <c r="I1016" s="97">
        <f>+I1017+I1018+I1019+I1031+I1032+I1033+I1035+I1036+I1037+I1038+I1039</f>
        <v>49739</v>
      </c>
      <c r="J1016" s="99">
        <f>+J1017+J1018+J1019+J1031+J1032+J1033+J1034+J1035+J1036+J1037+J1038+J1039</f>
        <v>58050</v>
      </c>
      <c r="K1016" s="99">
        <f>+K1017+K1018+K1019+K1031+K1032+K1033+K1034+K1035+K1036+K1037+K1038+K1039</f>
        <v>-9000</v>
      </c>
      <c r="L1016" s="170">
        <f>+L1017+L1018+L1019+L1031+L1032+L1033+L1034+L1035+L1036+L1037+L1038+L1039</f>
        <v>49050</v>
      </c>
      <c r="M1016" s="170">
        <f t="shared" ref="M1016:N1016" si="561">+M1017+M1018+M1019+M1031+M1032+M1033+M1034+M1035+M1036+M1037+M1038+M1039</f>
        <v>0</v>
      </c>
      <c r="N1016" s="170">
        <f t="shared" si="561"/>
        <v>49050</v>
      </c>
      <c r="O1016" s="170">
        <f>+O1017+O1018+O1019+O1031+O1032+O1033+O1034+O1035+O1036+O1037+O1038+O1039+O1030</f>
        <v>31987</v>
      </c>
      <c r="P1016" s="170">
        <f t="shared" ref="P1016" si="562">+P1017+P1018+P1019+P1031+P1032+P1033+P1034+P1035+P1036+P1037+P1038+P1039</f>
        <v>58099</v>
      </c>
      <c r="Q1016" s="87">
        <f t="shared" si="538"/>
        <v>0.18448521916411825</v>
      </c>
      <c r="R1016" s="203"/>
    </row>
    <row r="1017" spans="1:26" ht="14.1" customHeight="1" x14ac:dyDescent="0.2">
      <c r="A1017" s="89"/>
      <c r="B1017" s="90" t="s">
        <v>105</v>
      </c>
      <c r="C1017" s="72" t="s">
        <v>115</v>
      </c>
      <c r="D1017" s="102">
        <v>900</v>
      </c>
      <c r="E1017" s="71"/>
      <c r="F1017" s="74">
        <f t="shared" si="554"/>
        <v>900</v>
      </c>
      <c r="G1017" s="74"/>
      <c r="H1017" s="74">
        <f t="shared" si="560"/>
        <v>900</v>
      </c>
      <c r="I1017" s="71">
        <v>1532</v>
      </c>
      <c r="J1017" s="73">
        <v>900</v>
      </c>
      <c r="K1017" s="74"/>
      <c r="L1017" s="74">
        <f t="shared" ref="L1017:L1039" si="563">+K1017+J1017</f>
        <v>900</v>
      </c>
      <c r="M1017" s="74"/>
      <c r="N1017" s="74">
        <f t="shared" si="559"/>
        <v>900</v>
      </c>
      <c r="O1017" s="74">
        <v>1765</v>
      </c>
      <c r="P1017" s="67">
        <v>1000</v>
      </c>
      <c r="Q1017" s="87">
        <f t="shared" si="538"/>
        <v>0.1111111111111111</v>
      </c>
      <c r="R1017" s="206"/>
    </row>
    <row r="1018" spans="1:26" ht="14.1" customHeight="1" x14ac:dyDescent="0.2">
      <c r="A1018" s="89"/>
      <c r="B1018" s="90" t="s">
        <v>108</v>
      </c>
      <c r="C1018" s="72" t="s">
        <v>118</v>
      </c>
      <c r="D1018" s="102">
        <v>1000</v>
      </c>
      <c r="E1018" s="71"/>
      <c r="F1018" s="74">
        <f t="shared" si="554"/>
        <v>1000</v>
      </c>
      <c r="G1018" s="74"/>
      <c r="H1018" s="74">
        <f t="shared" si="560"/>
        <v>1000</v>
      </c>
      <c r="I1018" s="71">
        <v>788</v>
      </c>
      <c r="J1018" s="73">
        <v>1000</v>
      </c>
      <c r="K1018" s="74"/>
      <c r="L1018" s="74">
        <f t="shared" si="563"/>
        <v>1000</v>
      </c>
      <c r="M1018" s="74"/>
      <c r="N1018" s="74">
        <f t="shared" si="559"/>
        <v>1000</v>
      </c>
      <c r="O1018" s="74">
        <v>557</v>
      </c>
      <c r="P1018" s="67">
        <v>900</v>
      </c>
      <c r="Q1018" s="87">
        <f t="shared" si="538"/>
        <v>-0.1</v>
      </c>
      <c r="R1018" s="203"/>
    </row>
    <row r="1019" spans="1:26" ht="14.1" customHeight="1" x14ac:dyDescent="0.2">
      <c r="A1019" s="89"/>
      <c r="B1019" s="90" t="s">
        <v>119</v>
      </c>
      <c r="C1019" s="72" t="s">
        <v>110</v>
      </c>
      <c r="D1019" s="102">
        <v>31800</v>
      </c>
      <c r="E1019" s="71"/>
      <c r="F1019" s="74">
        <f t="shared" si="554"/>
        <v>31800</v>
      </c>
      <c r="G1019" s="74"/>
      <c r="H1019" s="74">
        <f t="shared" si="560"/>
        <v>31800</v>
      </c>
      <c r="I1019" s="71">
        <f>SUM(I1020:I1029)</f>
        <v>27011</v>
      </c>
      <c r="J1019" s="73">
        <f>SUM(J1020:J1029)</f>
        <v>35300</v>
      </c>
      <c r="K1019" s="73">
        <f>SUM(K1020:K1029)</f>
        <v>-7000</v>
      </c>
      <c r="L1019" s="74">
        <f>SUM(L1020:L1029)</f>
        <v>28300</v>
      </c>
      <c r="M1019" s="74">
        <f t="shared" ref="M1019:O1019" si="564">SUM(M1020:M1029)</f>
        <v>0</v>
      </c>
      <c r="N1019" s="74">
        <f t="shared" si="564"/>
        <v>28300</v>
      </c>
      <c r="O1019" s="74">
        <f t="shared" si="564"/>
        <v>14499</v>
      </c>
      <c r="P1019" s="67">
        <f t="shared" ref="P1019" si="565">SUM(P1020:P1029)</f>
        <v>31899</v>
      </c>
      <c r="Q1019" s="87">
        <f t="shared" si="538"/>
        <v>0.12717314487632508</v>
      </c>
      <c r="R1019" s="204"/>
      <c r="S1019" s="171"/>
    </row>
    <row r="1020" spans="1:26" ht="14.1" customHeight="1" x14ac:dyDescent="0.2">
      <c r="A1020" s="89"/>
      <c r="B1020" s="90"/>
      <c r="C1020" s="154" t="s">
        <v>223</v>
      </c>
      <c r="D1020" s="157">
        <v>16000</v>
      </c>
      <c r="E1020" s="71"/>
      <c r="F1020" s="153">
        <f t="shared" si="554"/>
        <v>16000</v>
      </c>
      <c r="G1020" s="153"/>
      <c r="H1020" s="153">
        <f t="shared" si="560"/>
        <v>16000</v>
      </c>
      <c r="I1020" s="158">
        <v>13443</v>
      </c>
      <c r="J1020" s="159">
        <v>12000</v>
      </c>
      <c r="K1020" s="153"/>
      <c r="L1020" s="153">
        <f t="shared" si="563"/>
        <v>12000</v>
      </c>
      <c r="M1020" s="153"/>
      <c r="N1020" s="153">
        <f t="shared" si="559"/>
        <v>12000</v>
      </c>
      <c r="O1020" s="153">
        <v>5132</v>
      </c>
      <c r="P1020" s="155">
        <v>12000</v>
      </c>
      <c r="Q1020" s="87">
        <f t="shared" si="538"/>
        <v>0</v>
      </c>
      <c r="R1020" s="204"/>
      <c r="S1020" s="171"/>
    </row>
    <row r="1021" spans="1:26" ht="14.1" customHeight="1" x14ac:dyDescent="0.2">
      <c r="A1021" s="89"/>
      <c r="B1021" s="90"/>
      <c r="C1021" s="154" t="s">
        <v>224</v>
      </c>
      <c r="D1021" s="157">
        <v>2300</v>
      </c>
      <c r="E1021" s="71"/>
      <c r="F1021" s="153">
        <f t="shared" si="554"/>
        <v>2300</v>
      </c>
      <c r="G1021" s="153"/>
      <c r="H1021" s="153">
        <f t="shared" si="560"/>
        <v>2300</v>
      </c>
      <c r="I1021" s="158">
        <v>2758</v>
      </c>
      <c r="J1021" s="159">
        <v>3000</v>
      </c>
      <c r="K1021" s="153"/>
      <c r="L1021" s="153">
        <f t="shared" si="563"/>
        <v>3000</v>
      </c>
      <c r="M1021" s="153"/>
      <c r="N1021" s="153">
        <f t="shared" si="559"/>
        <v>3000</v>
      </c>
      <c r="O1021" s="153">
        <v>1679</v>
      </c>
      <c r="P1021" s="155">
        <v>4000</v>
      </c>
      <c r="Q1021" s="87">
        <f t="shared" si="538"/>
        <v>0.33333333333333331</v>
      </c>
      <c r="R1021" s="204"/>
      <c r="S1021" s="171"/>
    </row>
    <row r="1022" spans="1:26" ht="14.1" customHeight="1" x14ac:dyDescent="0.2">
      <c r="A1022" s="89"/>
      <c r="B1022" s="90"/>
      <c r="C1022" s="154" t="s">
        <v>225</v>
      </c>
      <c r="D1022" s="157">
        <v>1300</v>
      </c>
      <c r="E1022" s="71"/>
      <c r="F1022" s="153">
        <f t="shared" si="554"/>
        <v>1300</v>
      </c>
      <c r="G1022" s="153"/>
      <c r="H1022" s="153">
        <f t="shared" si="560"/>
        <v>1300</v>
      </c>
      <c r="I1022" s="158">
        <v>575</v>
      </c>
      <c r="J1022" s="159">
        <v>1000</v>
      </c>
      <c r="K1022" s="153"/>
      <c r="L1022" s="153">
        <f t="shared" si="563"/>
        <v>1000</v>
      </c>
      <c r="M1022" s="153"/>
      <c r="N1022" s="153">
        <f t="shared" si="559"/>
        <v>1000</v>
      </c>
      <c r="O1022" s="153">
        <v>801</v>
      </c>
      <c r="P1022" s="155">
        <v>1000</v>
      </c>
      <c r="Q1022" s="87">
        <f t="shared" si="538"/>
        <v>0</v>
      </c>
      <c r="R1022" s="204"/>
      <c r="S1022" s="171"/>
    </row>
    <row r="1023" spans="1:26" ht="14.1" customHeight="1" x14ac:dyDescent="0.2">
      <c r="A1023" s="89"/>
      <c r="B1023" s="90"/>
      <c r="C1023" s="154" t="s">
        <v>226</v>
      </c>
      <c r="D1023" s="157">
        <v>1000</v>
      </c>
      <c r="E1023" s="71"/>
      <c r="F1023" s="153">
        <f t="shared" si="554"/>
        <v>1000</v>
      </c>
      <c r="G1023" s="153"/>
      <c r="H1023" s="153">
        <f t="shared" si="560"/>
        <v>1000</v>
      </c>
      <c r="I1023" s="158">
        <v>997</v>
      </c>
      <c r="J1023" s="159">
        <v>1500</v>
      </c>
      <c r="K1023" s="153"/>
      <c r="L1023" s="153">
        <f t="shared" si="563"/>
        <v>1500</v>
      </c>
      <c r="M1023" s="153"/>
      <c r="N1023" s="153">
        <f t="shared" si="559"/>
        <v>1500</v>
      </c>
      <c r="O1023" s="153">
        <v>3142</v>
      </c>
      <c r="P1023" s="155">
        <v>2000</v>
      </c>
      <c r="Q1023" s="87">
        <f t="shared" si="538"/>
        <v>0.33333333333333331</v>
      </c>
      <c r="R1023" s="204"/>
      <c r="S1023" s="171"/>
    </row>
    <row r="1024" spans="1:26" ht="14.1" customHeight="1" x14ac:dyDescent="0.2">
      <c r="A1024" s="89"/>
      <c r="B1024" s="90"/>
      <c r="C1024" s="154" t="s">
        <v>353</v>
      </c>
      <c r="D1024" s="157">
        <v>1000</v>
      </c>
      <c r="E1024" s="71"/>
      <c r="F1024" s="153">
        <f t="shared" si="554"/>
        <v>1000</v>
      </c>
      <c r="G1024" s="153"/>
      <c r="H1024" s="153">
        <f t="shared" si="560"/>
        <v>1000</v>
      </c>
      <c r="I1024" s="158">
        <v>2567</v>
      </c>
      <c r="J1024" s="159">
        <v>2000</v>
      </c>
      <c r="K1024" s="153"/>
      <c r="L1024" s="153">
        <f t="shared" si="563"/>
        <v>2000</v>
      </c>
      <c r="M1024" s="153"/>
      <c r="N1024" s="153">
        <f t="shared" si="559"/>
        <v>2000</v>
      </c>
      <c r="O1024" s="153">
        <v>1289</v>
      </c>
      <c r="P1024" s="155">
        <v>1500</v>
      </c>
      <c r="Q1024" s="87">
        <f t="shared" si="538"/>
        <v>-0.25</v>
      </c>
      <c r="R1024" s="204"/>
      <c r="S1024" s="171"/>
    </row>
    <row r="1025" spans="1:19" ht="12.75" customHeight="1" x14ac:dyDescent="0.2">
      <c r="A1025" s="89"/>
      <c r="B1025" s="90"/>
      <c r="C1025" s="154" t="s">
        <v>230</v>
      </c>
      <c r="D1025" s="157">
        <v>7300</v>
      </c>
      <c r="E1025" s="71"/>
      <c r="F1025" s="153">
        <f t="shared" si="554"/>
        <v>7300</v>
      </c>
      <c r="G1025" s="153"/>
      <c r="H1025" s="153">
        <f t="shared" si="560"/>
        <v>7300</v>
      </c>
      <c r="I1025" s="158">
        <v>5093</v>
      </c>
      <c r="J1025" s="159">
        <v>14000</v>
      </c>
      <c r="K1025" s="153">
        <v>-7000</v>
      </c>
      <c r="L1025" s="153">
        <f t="shared" si="563"/>
        <v>7000</v>
      </c>
      <c r="M1025" s="153"/>
      <c r="N1025" s="153">
        <f t="shared" si="559"/>
        <v>7000</v>
      </c>
      <c r="O1025" s="153">
        <v>494</v>
      </c>
      <c r="P1025" s="217">
        <v>10000</v>
      </c>
      <c r="Q1025" s="87">
        <f t="shared" si="538"/>
        <v>0.42857142857142855</v>
      </c>
      <c r="R1025" s="206" t="s">
        <v>971</v>
      </c>
      <c r="S1025" s="171"/>
    </row>
    <row r="1026" spans="1:19" ht="14.1" customHeight="1" x14ac:dyDescent="0.2">
      <c r="A1026" s="89"/>
      <c r="B1026" s="90"/>
      <c r="C1026" s="154" t="s">
        <v>347</v>
      </c>
      <c r="D1026" s="157">
        <v>1200</v>
      </c>
      <c r="E1026" s="71"/>
      <c r="F1026" s="153">
        <f t="shared" si="554"/>
        <v>1200</v>
      </c>
      <c r="G1026" s="153"/>
      <c r="H1026" s="153">
        <f t="shared" si="560"/>
        <v>1200</v>
      </c>
      <c r="I1026" s="158">
        <v>920</v>
      </c>
      <c r="J1026" s="159">
        <v>1200</v>
      </c>
      <c r="K1026" s="153"/>
      <c r="L1026" s="153">
        <f t="shared" si="563"/>
        <v>1200</v>
      </c>
      <c r="M1026" s="153"/>
      <c r="N1026" s="153">
        <f t="shared" si="559"/>
        <v>1200</v>
      </c>
      <c r="O1026" s="153">
        <v>989</v>
      </c>
      <c r="P1026" s="155">
        <v>1200</v>
      </c>
      <c r="Q1026" s="87">
        <f t="shared" si="538"/>
        <v>0</v>
      </c>
      <c r="R1026" s="204"/>
      <c r="S1026" s="171"/>
    </row>
    <row r="1027" spans="1:19" ht="14.1" customHeight="1" x14ac:dyDescent="0.2">
      <c r="A1027" s="89"/>
      <c r="B1027" s="90"/>
      <c r="C1027" s="154" t="s">
        <v>348</v>
      </c>
      <c r="D1027" s="157">
        <v>500</v>
      </c>
      <c r="E1027" s="71"/>
      <c r="F1027" s="153">
        <f t="shared" si="554"/>
        <v>500</v>
      </c>
      <c r="G1027" s="153"/>
      <c r="H1027" s="153">
        <f t="shared" si="560"/>
        <v>500</v>
      </c>
      <c r="I1027" s="158">
        <v>617</v>
      </c>
      <c r="J1027" s="159">
        <v>600</v>
      </c>
      <c r="K1027" s="153"/>
      <c r="L1027" s="153">
        <f t="shared" si="563"/>
        <v>600</v>
      </c>
      <c r="M1027" s="153"/>
      <c r="N1027" s="153">
        <f t="shared" si="559"/>
        <v>600</v>
      </c>
      <c r="O1027" s="153">
        <v>199</v>
      </c>
      <c r="P1027" s="155">
        <v>199</v>
      </c>
      <c r="Q1027" s="87">
        <f t="shared" si="538"/>
        <v>-0.66833333333333333</v>
      </c>
      <c r="R1027" s="204"/>
      <c r="S1027" s="171"/>
    </row>
    <row r="1028" spans="1:19" ht="14.1" customHeight="1" x14ac:dyDescent="0.2">
      <c r="A1028" s="89"/>
      <c r="B1028" s="90"/>
      <c r="C1028" s="154" t="s">
        <v>354</v>
      </c>
      <c r="D1028" s="157">
        <v>0</v>
      </c>
      <c r="E1028" s="71"/>
      <c r="F1028" s="153">
        <f t="shared" si="554"/>
        <v>0</v>
      </c>
      <c r="G1028" s="153"/>
      <c r="H1028" s="153">
        <f t="shared" si="560"/>
        <v>0</v>
      </c>
      <c r="I1028" s="158">
        <v>41</v>
      </c>
      <c r="J1028" s="159">
        <v>0</v>
      </c>
      <c r="K1028" s="153"/>
      <c r="L1028" s="153">
        <f t="shared" si="563"/>
        <v>0</v>
      </c>
      <c r="M1028" s="153"/>
      <c r="N1028" s="153">
        <f t="shared" si="559"/>
        <v>0</v>
      </c>
      <c r="O1028" s="153">
        <v>774</v>
      </c>
      <c r="P1028" s="155">
        <v>0</v>
      </c>
      <c r="Q1028" s="87" t="e">
        <f t="shared" si="538"/>
        <v>#DIV/0!</v>
      </c>
      <c r="R1028" s="203"/>
    </row>
    <row r="1029" spans="1:19" ht="14.1" customHeight="1" x14ac:dyDescent="0.2">
      <c r="A1029" s="89"/>
      <c r="B1029" s="90"/>
      <c r="C1029" s="154" t="s">
        <v>355</v>
      </c>
      <c r="D1029" s="157">
        <v>1200</v>
      </c>
      <c r="E1029" s="71"/>
      <c r="F1029" s="153">
        <f t="shared" si="554"/>
        <v>1200</v>
      </c>
      <c r="G1029" s="153"/>
      <c r="H1029" s="153">
        <f t="shared" si="560"/>
        <v>1200</v>
      </c>
      <c r="I1029" s="158"/>
      <c r="J1029" s="159"/>
      <c r="K1029" s="153"/>
      <c r="L1029" s="153">
        <f t="shared" si="563"/>
        <v>0</v>
      </c>
      <c r="M1029" s="153"/>
      <c r="N1029" s="153">
        <f t="shared" si="559"/>
        <v>0</v>
      </c>
      <c r="O1029" s="153"/>
      <c r="P1029" s="155">
        <v>0</v>
      </c>
      <c r="Q1029" s="87" t="e">
        <f t="shared" si="538"/>
        <v>#DIV/0!</v>
      </c>
      <c r="R1029" s="203"/>
    </row>
    <row r="1030" spans="1:19" ht="14.1" customHeight="1" x14ac:dyDescent="0.2">
      <c r="A1030" s="89"/>
      <c r="B1030" s="90">
        <v>5512</v>
      </c>
      <c r="C1030" s="72" t="s">
        <v>189</v>
      </c>
      <c r="D1030" s="102"/>
      <c r="E1030" s="71"/>
      <c r="F1030" s="74"/>
      <c r="G1030" s="74"/>
      <c r="H1030" s="74"/>
      <c r="I1030" s="71"/>
      <c r="J1030" s="73"/>
      <c r="K1030" s="74"/>
      <c r="L1030" s="74"/>
      <c r="M1030" s="74"/>
      <c r="N1030" s="74"/>
      <c r="O1030" s="74">
        <v>20</v>
      </c>
      <c r="P1030" s="67"/>
      <c r="Q1030" s="87"/>
      <c r="R1030" s="203"/>
    </row>
    <row r="1031" spans="1:19" ht="14.1" customHeight="1" x14ac:dyDescent="0.2">
      <c r="A1031" s="89"/>
      <c r="B1031" s="90">
        <v>5513</v>
      </c>
      <c r="C1031" s="72" t="s">
        <v>356</v>
      </c>
      <c r="D1031" s="102">
        <v>500</v>
      </c>
      <c r="E1031" s="71"/>
      <c r="F1031" s="74">
        <f t="shared" si="554"/>
        <v>500</v>
      </c>
      <c r="G1031" s="74"/>
      <c r="H1031" s="74">
        <f t="shared" si="560"/>
        <v>500</v>
      </c>
      <c r="I1031" s="71">
        <v>101</v>
      </c>
      <c r="J1031" s="73">
        <v>500</v>
      </c>
      <c r="K1031" s="74"/>
      <c r="L1031" s="74">
        <f t="shared" si="563"/>
        <v>500</v>
      </c>
      <c r="M1031" s="74"/>
      <c r="N1031" s="74">
        <f t="shared" si="559"/>
        <v>500</v>
      </c>
      <c r="O1031" s="74">
        <v>222</v>
      </c>
      <c r="P1031" s="67">
        <v>300</v>
      </c>
      <c r="Q1031" s="87">
        <f t="shared" si="538"/>
        <v>-0.4</v>
      </c>
      <c r="R1031" s="203"/>
      <c r="S1031" s="49"/>
    </row>
    <row r="1032" spans="1:19" ht="14.1" customHeight="1" x14ac:dyDescent="0.2">
      <c r="A1032" s="89"/>
      <c r="B1032" s="90">
        <v>5514</v>
      </c>
      <c r="C1032" s="72" t="s">
        <v>357</v>
      </c>
      <c r="D1032" s="102">
        <v>600</v>
      </c>
      <c r="E1032" s="71"/>
      <c r="F1032" s="74">
        <f t="shared" si="554"/>
        <v>600</v>
      </c>
      <c r="G1032" s="74"/>
      <c r="H1032" s="74">
        <f t="shared" si="560"/>
        <v>600</v>
      </c>
      <c r="I1032" s="71">
        <v>401</v>
      </c>
      <c r="J1032" s="73">
        <v>600</v>
      </c>
      <c r="K1032" s="74"/>
      <c r="L1032" s="74">
        <f t="shared" si="563"/>
        <v>600</v>
      </c>
      <c r="M1032" s="74"/>
      <c r="N1032" s="74">
        <f t="shared" si="559"/>
        <v>600</v>
      </c>
      <c r="O1032" s="74">
        <v>831</v>
      </c>
      <c r="P1032" s="67">
        <v>1200</v>
      </c>
      <c r="Q1032" s="87">
        <f t="shared" si="538"/>
        <v>1</v>
      </c>
      <c r="R1032" s="203"/>
      <c r="S1032" s="49"/>
    </row>
    <row r="1033" spans="1:19" ht="14.1" customHeight="1" x14ac:dyDescent="0.2">
      <c r="A1033" s="89"/>
      <c r="B1033" s="90">
        <v>5515</v>
      </c>
      <c r="C1033" s="72" t="s">
        <v>358</v>
      </c>
      <c r="D1033" s="102">
        <v>5000</v>
      </c>
      <c r="E1033" s="71"/>
      <c r="F1033" s="74">
        <f t="shared" si="554"/>
        <v>5000</v>
      </c>
      <c r="G1033" s="74"/>
      <c r="H1033" s="74">
        <f t="shared" si="560"/>
        <v>5000</v>
      </c>
      <c r="I1033" s="71">
        <v>7528</v>
      </c>
      <c r="J1033" s="73">
        <v>1500</v>
      </c>
      <c r="K1033" s="74"/>
      <c r="L1033" s="74">
        <f t="shared" si="563"/>
        <v>1500</v>
      </c>
      <c r="M1033" s="74"/>
      <c r="N1033" s="74">
        <f t="shared" ref="N1033:N1039" si="566">+M1033+L1033</f>
        <v>1500</v>
      </c>
      <c r="O1033" s="74">
        <v>2845</v>
      </c>
      <c r="P1033" s="67">
        <v>800</v>
      </c>
      <c r="Q1033" s="87">
        <f t="shared" si="538"/>
        <v>-0.46666666666666667</v>
      </c>
      <c r="R1033" s="203" t="s">
        <v>972</v>
      </c>
      <c r="S1033" s="49"/>
    </row>
    <row r="1034" spans="1:19" ht="14.1" customHeight="1" x14ac:dyDescent="0.2">
      <c r="A1034" s="89"/>
      <c r="B1034" s="90">
        <v>5516</v>
      </c>
      <c r="C1034" s="72" t="s">
        <v>341</v>
      </c>
      <c r="D1034" s="102"/>
      <c r="E1034" s="71"/>
      <c r="F1034" s="74"/>
      <c r="G1034" s="74"/>
      <c r="H1034" s="74"/>
      <c r="I1034" s="71"/>
      <c r="J1034" s="73">
        <v>200</v>
      </c>
      <c r="K1034" s="74"/>
      <c r="L1034" s="74">
        <f t="shared" si="563"/>
        <v>200</v>
      </c>
      <c r="M1034" s="74"/>
      <c r="N1034" s="74">
        <f t="shared" si="566"/>
        <v>200</v>
      </c>
      <c r="O1034" s="74"/>
      <c r="P1034" s="67">
        <v>1000</v>
      </c>
      <c r="Q1034" s="87">
        <f t="shared" si="538"/>
        <v>4</v>
      </c>
      <c r="R1034" s="203"/>
      <c r="S1034" s="49"/>
    </row>
    <row r="1035" spans="1:19" ht="14.1" customHeight="1" x14ac:dyDescent="0.2">
      <c r="A1035" s="89"/>
      <c r="B1035" s="90">
        <v>5521</v>
      </c>
      <c r="C1035" s="72" t="s">
        <v>263</v>
      </c>
      <c r="D1035" s="102">
        <v>13020</v>
      </c>
      <c r="E1035" s="71"/>
      <c r="F1035" s="74">
        <f t="shared" ref="F1035:F1052" si="567">+E1035+D1035</f>
        <v>13020</v>
      </c>
      <c r="G1035" s="74"/>
      <c r="H1035" s="74">
        <f t="shared" si="560"/>
        <v>13020</v>
      </c>
      <c r="I1035" s="71">
        <v>9869</v>
      </c>
      <c r="J1035" s="73">
        <v>11450</v>
      </c>
      <c r="K1035" s="74"/>
      <c r="L1035" s="74">
        <f t="shared" si="563"/>
        <v>11450</v>
      </c>
      <c r="M1035" s="74"/>
      <c r="N1035" s="74">
        <f t="shared" si="566"/>
        <v>11450</v>
      </c>
      <c r="O1035" s="74">
        <v>8455</v>
      </c>
      <c r="P1035" s="67">
        <v>16000</v>
      </c>
      <c r="Q1035" s="87">
        <f t="shared" si="538"/>
        <v>0.39737991266375544</v>
      </c>
      <c r="R1035" s="206"/>
      <c r="S1035" s="49"/>
    </row>
    <row r="1036" spans="1:19" ht="14.1" customHeight="1" x14ac:dyDescent="0.2">
      <c r="A1036" s="89"/>
      <c r="B1036" s="90">
        <v>5522</v>
      </c>
      <c r="C1036" s="72" t="s">
        <v>137</v>
      </c>
      <c r="D1036" s="102">
        <v>150</v>
      </c>
      <c r="E1036" s="71"/>
      <c r="F1036" s="74">
        <f t="shared" si="567"/>
        <v>150</v>
      </c>
      <c r="G1036" s="74"/>
      <c r="H1036" s="74">
        <f t="shared" si="560"/>
        <v>150</v>
      </c>
      <c r="I1036" s="71">
        <v>26</v>
      </c>
      <c r="J1036" s="73">
        <v>300</v>
      </c>
      <c r="K1036" s="74"/>
      <c r="L1036" s="74">
        <f t="shared" si="563"/>
        <v>300</v>
      </c>
      <c r="M1036" s="74"/>
      <c r="N1036" s="74">
        <f t="shared" si="566"/>
        <v>300</v>
      </c>
      <c r="O1036" s="74"/>
      <c r="P1036" s="67">
        <v>300</v>
      </c>
      <c r="Q1036" s="87">
        <f t="shared" si="538"/>
        <v>0</v>
      </c>
      <c r="R1036" s="203"/>
      <c r="S1036" s="49"/>
    </row>
    <row r="1037" spans="1:19" ht="14.1" customHeight="1" x14ac:dyDescent="0.2">
      <c r="A1037" s="89"/>
      <c r="B1037" s="90">
        <v>5524</v>
      </c>
      <c r="C1037" s="72" t="s">
        <v>345</v>
      </c>
      <c r="D1037" s="102">
        <v>5000</v>
      </c>
      <c r="E1037" s="71"/>
      <c r="F1037" s="74">
        <f t="shared" si="567"/>
        <v>5000</v>
      </c>
      <c r="G1037" s="74"/>
      <c r="H1037" s="74">
        <f t="shared" si="560"/>
        <v>5000</v>
      </c>
      <c r="I1037" s="71">
        <v>1769</v>
      </c>
      <c r="J1037" s="73">
        <v>5000</v>
      </c>
      <c r="K1037" s="74">
        <v>-2000</v>
      </c>
      <c r="L1037" s="74">
        <f t="shared" si="563"/>
        <v>3000</v>
      </c>
      <c r="M1037" s="74"/>
      <c r="N1037" s="74">
        <f t="shared" si="566"/>
        <v>3000</v>
      </c>
      <c r="O1037" s="74">
        <v>1491</v>
      </c>
      <c r="P1037" s="67">
        <v>3100</v>
      </c>
      <c r="Q1037" s="87">
        <f t="shared" si="538"/>
        <v>3.3333333333333333E-2</v>
      </c>
      <c r="R1037" s="204" t="s">
        <v>1359</v>
      </c>
      <c r="S1037" s="49"/>
    </row>
    <row r="1038" spans="1:19" ht="14.1" customHeight="1" x14ac:dyDescent="0.2">
      <c r="A1038" s="89"/>
      <c r="B1038" s="90">
        <v>5525</v>
      </c>
      <c r="C1038" s="72" t="s">
        <v>139</v>
      </c>
      <c r="D1038" s="102">
        <v>1900</v>
      </c>
      <c r="E1038" s="71"/>
      <c r="F1038" s="74">
        <f t="shared" si="567"/>
        <v>1900</v>
      </c>
      <c r="G1038" s="74"/>
      <c r="H1038" s="74">
        <f t="shared" si="560"/>
        <v>1900</v>
      </c>
      <c r="I1038" s="71">
        <v>714</v>
      </c>
      <c r="J1038" s="73">
        <v>900</v>
      </c>
      <c r="K1038" s="74"/>
      <c r="L1038" s="74">
        <f t="shared" si="563"/>
        <v>900</v>
      </c>
      <c r="M1038" s="74"/>
      <c r="N1038" s="74">
        <f t="shared" si="566"/>
        <v>900</v>
      </c>
      <c r="O1038" s="74">
        <v>1015</v>
      </c>
      <c r="P1038" s="67">
        <v>1000</v>
      </c>
      <c r="Q1038" s="87">
        <f t="shared" si="538"/>
        <v>0.1111111111111111</v>
      </c>
      <c r="R1038" s="206"/>
      <c r="S1038" s="49"/>
    </row>
    <row r="1039" spans="1:19" ht="14.1" customHeight="1" x14ac:dyDescent="0.2">
      <c r="A1039" s="89"/>
      <c r="B1039" s="90">
        <v>5540</v>
      </c>
      <c r="C1039" s="72" t="s">
        <v>193</v>
      </c>
      <c r="D1039" s="102">
        <v>380</v>
      </c>
      <c r="E1039" s="71"/>
      <c r="F1039" s="74">
        <f t="shared" si="567"/>
        <v>380</v>
      </c>
      <c r="G1039" s="74"/>
      <c r="H1039" s="74">
        <f t="shared" si="560"/>
        <v>380</v>
      </c>
      <c r="I1039" s="71">
        <v>0</v>
      </c>
      <c r="J1039" s="73">
        <v>400</v>
      </c>
      <c r="K1039" s="74"/>
      <c r="L1039" s="74">
        <f t="shared" si="563"/>
        <v>400</v>
      </c>
      <c r="M1039" s="74"/>
      <c r="N1039" s="74">
        <f t="shared" si="566"/>
        <v>400</v>
      </c>
      <c r="O1039" s="74">
        <v>287</v>
      </c>
      <c r="P1039" s="67">
        <v>600</v>
      </c>
      <c r="Q1039" s="87">
        <f t="shared" si="538"/>
        <v>0.5</v>
      </c>
      <c r="R1039" s="203"/>
    </row>
    <row r="1040" spans="1:19" ht="14.1" customHeight="1" x14ac:dyDescent="0.2">
      <c r="A1040" s="164" t="s">
        <v>689</v>
      </c>
      <c r="B1040" s="147"/>
      <c r="C1040" s="148" t="s">
        <v>359</v>
      </c>
      <c r="D1040" s="149">
        <v>713878</v>
      </c>
      <c r="E1040" s="151">
        <f>+E1041+E1042+E1043</f>
        <v>-25588</v>
      </c>
      <c r="F1040" s="137">
        <f t="shared" si="567"/>
        <v>688290</v>
      </c>
      <c r="G1040" s="137">
        <f>+G1041+G1042+G1043</f>
        <v>56800</v>
      </c>
      <c r="H1040" s="137">
        <f>+H1041+H1042+H1043</f>
        <v>745090</v>
      </c>
      <c r="I1040" s="151">
        <f>+I1041+I1042+I1043</f>
        <v>540812</v>
      </c>
      <c r="J1040" s="152">
        <f>+J1041+J1042+J1043</f>
        <v>1144930</v>
      </c>
      <c r="K1040" s="152">
        <f t="shared" ref="K1040:L1040" si="568">+K1041+K1042+K1043</f>
        <v>0</v>
      </c>
      <c r="L1040" s="152">
        <f t="shared" si="568"/>
        <v>1144930</v>
      </c>
      <c r="M1040" s="152">
        <f t="shared" ref="M1040:N1040" si="569">+M1041+M1042+M1043</f>
        <v>32325</v>
      </c>
      <c r="N1040" s="152">
        <f t="shared" si="569"/>
        <v>1177255</v>
      </c>
      <c r="O1040" s="152">
        <f t="shared" ref="O1040:P1040" si="570">+O1041+O1042+O1043</f>
        <v>887435</v>
      </c>
      <c r="P1040" s="152">
        <f t="shared" si="570"/>
        <v>1492344</v>
      </c>
      <c r="Q1040" s="87">
        <f t="shared" si="538"/>
        <v>0.26764719623191235</v>
      </c>
      <c r="R1040" s="204" t="s">
        <v>997</v>
      </c>
    </row>
    <row r="1041" spans="1:26" ht="14.1" customHeight="1" x14ac:dyDescent="0.2">
      <c r="A1041" s="201"/>
      <c r="B1041" s="95">
        <v>45</v>
      </c>
      <c r="C1041" s="96" t="s">
        <v>334</v>
      </c>
      <c r="D1041" s="43">
        <v>25588</v>
      </c>
      <c r="E1041" s="97">
        <v>-25588</v>
      </c>
      <c r="F1041" s="98">
        <f t="shared" si="567"/>
        <v>0</v>
      </c>
      <c r="G1041" s="98"/>
      <c r="H1041" s="98">
        <f>+G1041+F1041</f>
        <v>0</v>
      </c>
      <c r="I1041" s="97">
        <v>0</v>
      </c>
      <c r="J1041" s="73">
        <v>0</v>
      </c>
      <c r="K1041" s="74"/>
      <c r="L1041" s="74">
        <v>0</v>
      </c>
      <c r="M1041" s="74">
        <v>0</v>
      </c>
      <c r="N1041" s="74">
        <f>+L1041+M1041</f>
        <v>0</v>
      </c>
      <c r="O1041" s="74">
        <f>+M1041+N1041</f>
        <v>0</v>
      </c>
      <c r="P1041" s="67"/>
      <c r="Q1041" s="227" t="s">
        <v>952</v>
      </c>
      <c r="R1041" s="59">
        <v>437583</v>
      </c>
    </row>
    <row r="1042" spans="1:26" ht="14.1" customHeight="1" x14ac:dyDescent="0.2">
      <c r="A1042" s="201"/>
      <c r="B1042" s="95">
        <v>50</v>
      </c>
      <c r="C1042" s="96" t="s">
        <v>102</v>
      </c>
      <c r="D1042" s="43">
        <v>508430</v>
      </c>
      <c r="E1042" s="97"/>
      <c r="F1042" s="98">
        <f t="shared" si="567"/>
        <v>508430</v>
      </c>
      <c r="G1042" s="98">
        <v>12800</v>
      </c>
      <c r="H1042" s="98">
        <f t="shared" ref="H1042:H1066" si="571">+G1042+F1042</f>
        <v>521230</v>
      </c>
      <c r="I1042" s="97">
        <v>415611</v>
      </c>
      <c r="J1042" s="73">
        <v>891445</v>
      </c>
      <c r="K1042" s="74"/>
      <c r="L1042" s="140">
        <v>891445</v>
      </c>
      <c r="M1042" s="223">
        <f>30000+2325</f>
        <v>32325</v>
      </c>
      <c r="N1042" s="140">
        <f>+L1042+M1042</f>
        <v>923770</v>
      </c>
      <c r="O1042" s="140">
        <v>715682</v>
      </c>
      <c r="P1042" s="67">
        <v>1210550</v>
      </c>
      <c r="Q1042" s="87">
        <f t="shared" ref="Q1042:Q1102" si="572">(P1042-N1042)/N1042</f>
        <v>0.31044524069844226</v>
      </c>
      <c r="R1042" s="203" t="s">
        <v>962</v>
      </c>
      <c r="S1042" s="203"/>
      <c r="T1042" s="203"/>
      <c r="U1042" s="203"/>
      <c r="W1042" s="203"/>
      <c r="X1042" s="203"/>
      <c r="Y1042" s="203"/>
      <c r="Z1042" s="203"/>
    </row>
    <row r="1043" spans="1:26" ht="14.1" customHeight="1" x14ac:dyDescent="0.2">
      <c r="A1043" s="201"/>
      <c r="B1043" s="95">
        <v>55</v>
      </c>
      <c r="C1043" s="96" t="s">
        <v>104</v>
      </c>
      <c r="D1043" s="43">
        <v>179860</v>
      </c>
      <c r="E1043" s="97"/>
      <c r="F1043" s="98">
        <f t="shared" si="567"/>
        <v>179860</v>
      </c>
      <c r="G1043" s="98">
        <f>+G1044+G1045+G1046+G1058+G1059+G1060+G1061+G1062+G1063+G1064+G1066</f>
        <v>44000</v>
      </c>
      <c r="H1043" s="98">
        <f t="shared" si="571"/>
        <v>223860</v>
      </c>
      <c r="I1043" s="97">
        <f>+I1044+I1045+I1046+I1057+I1058+I1059+I1060+I1061+I1062+I1063+I1064+I1066</f>
        <v>125201</v>
      </c>
      <c r="J1043" s="73">
        <f>+J1044+J1045+J1046+J1057+J1058+J1059+J1060+J1061+J1062+J1063+J1064+J1066</f>
        <v>253485</v>
      </c>
      <c r="K1043" s="74"/>
      <c r="L1043" s="141">
        <f>+L1044+L1045+L1046+L1057+L1058+L1059+L1060+L1061+L1062+L1063+L1064+L1066</f>
        <v>253485</v>
      </c>
      <c r="M1043" s="141">
        <f>+M1044+M1045+M1046+M1057+M1058+M1059+M1060+M1061+M1062+M1063+M1064+M1066</f>
        <v>0</v>
      </c>
      <c r="N1043" s="141">
        <f>+N1044+N1045+N1046+N1057+N1058+N1059+N1060+N1061+N1062+N1063+N1064+N1066</f>
        <v>253485</v>
      </c>
      <c r="O1043" s="141">
        <f>+O1044+O1045+O1046+O1057+O1058+O1059+O1060+O1061+O1062+O1063+O1064+O1066</f>
        <v>171753</v>
      </c>
      <c r="P1043" s="141">
        <f>+P1044+P1045+P1046+P1057+P1058+P1059+P1060+P1061+P1062+P1063+P1064+P1066+P1065</f>
        <v>281794</v>
      </c>
      <c r="Q1043" s="87">
        <f t="shared" si="572"/>
        <v>0.1116791920626467</v>
      </c>
      <c r="R1043" s="203"/>
    </row>
    <row r="1044" spans="1:26" ht="14.1" customHeight="1" x14ac:dyDescent="0.2">
      <c r="A1044" s="201"/>
      <c r="B1044" s="90" t="s">
        <v>105</v>
      </c>
      <c r="C1044" s="72" t="s">
        <v>115</v>
      </c>
      <c r="D1044" s="102">
        <v>2230</v>
      </c>
      <c r="E1044" s="71"/>
      <c r="F1044" s="74">
        <f t="shared" si="567"/>
        <v>2230</v>
      </c>
      <c r="G1044" s="74"/>
      <c r="H1044" s="74">
        <f t="shared" si="571"/>
        <v>2230</v>
      </c>
      <c r="I1044" s="71">
        <v>1372</v>
      </c>
      <c r="J1044" s="73">
        <v>6700</v>
      </c>
      <c r="K1044" s="74"/>
      <c r="L1044" s="74">
        <v>6700</v>
      </c>
      <c r="M1044" s="74"/>
      <c r="N1044" s="74">
        <f>+L1044+M1044</f>
        <v>6700</v>
      </c>
      <c r="O1044" s="74">
        <v>2409</v>
      </c>
      <c r="P1044" s="67">
        <v>7000</v>
      </c>
      <c r="Q1044" s="87">
        <f t="shared" si="572"/>
        <v>4.4776119402985072E-2</v>
      </c>
      <c r="R1044" s="203"/>
      <c r="S1044" s="49"/>
    </row>
    <row r="1045" spans="1:26" ht="14.1" customHeight="1" x14ac:dyDescent="0.2">
      <c r="A1045" s="201"/>
      <c r="B1045" s="90" t="s">
        <v>108</v>
      </c>
      <c r="C1045" s="72" t="s">
        <v>118</v>
      </c>
      <c r="D1045" s="102">
        <v>3000</v>
      </c>
      <c r="E1045" s="71"/>
      <c r="F1045" s="74">
        <f t="shared" si="567"/>
        <v>3000</v>
      </c>
      <c r="G1045" s="74"/>
      <c r="H1045" s="74">
        <f t="shared" si="571"/>
        <v>3000</v>
      </c>
      <c r="I1045" s="71">
        <v>2378</v>
      </c>
      <c r="J1045" s="73">
        <v>7500</v>
      </c>
      <c r="K1045" s="74"/>
      <c r="L1045" s="74">
        <v>7500</v>
      </c>
      <c r="M1045" s="74"/>
      <c r="N1045" s="74">
        <f>+L1045+M1045</f>
        <v>7500</v>
      </c>
      <c r="O1045" s="74">
        <v>3777</v>
      </c>
      <c r="P1045" s="67">
        <v>5000</v>
      </c>
      <c r="Q1045" s="87">
        <f t="shared" si="572"/>
        <v>-0.33333333333333331</v>
      </c>
      <c r="R1045" s="203"/>
    </row>
    <row r="1046" spans="1:26" ht="13.5" customHeight="1" x14ac:dyDescent="0.2">
      <c r="A1046" s="201"/>
      <c r="B1046" s="90" t="s">
        <v>119</v>
      </c>
      <c r="C1046" s="72" t="s">
        <v>110</v>
      </c>
      <c r="D1046" s="102">
        <v>65010</v>
      </c>
      <c r="E1046" s="71"/>
      <c r="F1046" s="74">
        <f t="shared" si="567"/>
        <v>65010</v>
      </c>
      <c r="G1046" s="74"/>
      <c r="H1046" s="74">
        <f t="shared" si="571"/>
        <v>65010</v>
      </c>
      <c r="I1046" s="71">
        <f>SUM(I1047:I1056)</f>
        <v>53275</v>
      </c>
      <c r="J1046" s="73">
        <f>SUM(J1047:J1056)</f>
        <v>121626</v>
      </c>
      <c r="K1046" s="74"/>
      <c r="L1046" s="74">
        <f>SUM(L1047:L1056)</f>
        <v>121626</v>
      </c>
      <c r="M1046" s="74">
        <f t="shared" ref="M1046:O1046" si="573">SUM(M1047:M1056)</f>
        <v>0</v>
      </c>
      <c r="N1046" s="74">
        <f t="shared" si="573"/>
        <v>121626</v>
      </c>
      <c r="O1046" s="74">
        <f t="shared" si="573"/>
        <v>81536</v>
      </c>
      <c r="P1046" s="67">
        <f t="shared" ref="P1046" si="574">SUM(P1047:P1056)</f>
        <v>127194</v>
      </c>
      <c r="Q1046" s="87">
        <f t="shared" si="572"/>
        <v>4.5779685264663805E-2</v>
      </c>
      <c r="R1046" s="204" t="s">
        <v>980</v>
      </c>
    </row>
    <row r="1047" spans="1:26" s="49" customFormat="1" ht="14.1" customHeight="1" x14ac:dyDescent="0.2">
      <c r="A1047" s="228"/>
      <c r="B1047" s="185"/>
      <c r="C1047" s="154" t="s">
        <v>223</v>
      </c>
      <c r="D1047" s="157">
        <v>11000</v>
      </c>
      <c r="E1047" s="158"/>
      <c r="F1047" s="153">
        <f t="shared" si="567"/>
        <v>11000</v>
      </c>
      <c r="G1047" s="153"/>
      <c r="H1047" s="153">
        <f t="shared" si="571"/>
        <v>11000</v>
      </c>
      <c r="I1047" s="158">
        <v>6696</v>
      </c>
      <c r="J1047" s="159">
        <v>45600</v>
      </c>
      <c r="K1047" s="153"/>
      <c r="L1047" s="153">
        <v>45600</v>
      </c>
      <c r="M1047" s="153"/>
      <c r="N1047" s="153">
        <f>+L1047+M1047</f>
        <v>45600</v>
      </c>
      <c r="O1047" s="153">
        <v>4713</v>
      </c>
      <c r="P1047" s="155">
        <v>32000</v>
      </c>
      <c r="Q1047" s="87">
        <f t="shared" si="572"/>
        <v>-0.2982456140350877</v>
      </c>
      <c r="R1047" s="203" t="s">
        <v>973</v>
      </c>
    </row>
    <row r="1048" spans="1:26" s="49" customFormat="1" ht="14.1" customHeight="1" x14ac:dyDescent="0.2">
      <c r="A1048" s="228"/>
      <c r="B1048" s="185"/>
      <c r="C1048" s="154" t="s">
        <v>224</v>
      </c>
      <c r="D1048" s="157">
        <v>11000</v>
      </c>
      <c r="E1048" s="158"/>
      <c r="F1048" s="153">
        <f t="shared" si="567"/>
        <v>11000</v>
      </c>
      <c r="G1048" s="153"/>
      <c r="H1048" s="153">
        <f t="shared" si="571"/>
        <v>11000</v>
      </c>
      <c r="I1048" s="158">
        <v>8822</v>
      </c>
      <c r="J1048" s="159"/>
      <c r="K1048" s="153"/>
      <c r="L1048" s="153"/>
      <c r="M1048" s="153"/>
      <c r="N1048" s="153">
        <f t="shared" ref="N1048:N1056" si="575">+L1048+M1048</f>
        <v>0</v>
      </c>
      <c r="O1048" s="153">
        <v>13641</v>
      </c>
      <c r="P1048" s="155">
        <v>18000</v>
      </c>
      <c r="Q1048" s="87" t="e">
        <f t="shared" si="572"/>
        <v>#DIV/0!</v>
      </c>
      <c r="R1048" s="203" t="s">
        <v>1360</v>
      </c>
      <c r="T1048" s="229" t="s">
        <v>1358</v>
      </c>
    </row>
    <row r="1049" spans="1:26" s="49" customFormat="1" ht="14.1" customHeight="1" x14ac:dyDescent="0.2">
      <c r="A1049" s="228"/>
      <c r="B1049" s="185"/>
      <c r="C1049" s="154" t="s">
        <v>225</v>
      </c>
      <c r="D1049" s="157">
        <v>1700</v>
      </c>
      <c r="E1049" s="158"/>
      <c r="F1049" s="153">
        <f t="shared" si="567"/>
        <v>1700</v>
      </c>
      <c r="G1049" s="153"/>
      <c r="H1049" s="153">
        <f t="shared" si="571"/>
        <v>1700</v>
      </c>
      <c r="I1049" s="158">
        <v>1767</v>
      </c>
      <c r="J1049" s="159"/>
      <c r="K1049" s="153"/>
      <c r="L1049" s="153"/>
      <c r="M1049" s="153"/>
      <c r="N1049" s="153">
        <f t="shared" si="575"/>
        <v>0</v>
      </c>
      <c r="O1049" s="153">
        <v>2376</v>
      </c>
      <c r="P1049" s="155">
        <v>4000</v>
      </c>
      <c r="Q1049" s="87" t="e">
        <f t="shared" si="572"/>
        <v>#DIV/0!</v>
      </c>
      <c r="R1049" s="203" t="s">
        <v>974</v>
      </c>
    </row>
    <row r="1050" spans="1:26" s="49" customFormat="1" ht="14.1" customHeight="1" x14ac:dyDescent="0.2">
      <c r="A1050" s="228"/>
      <c r="B1050" s="185"/>
      <c r="C1050" s="154" t="s">
        <v>226</v>
      </c>
      <c r="D1050" s="157">
        <v>6700</v>
      </c>
      <c r="E1050" s="158"/>
      <c r="F1050" s="153">
        <f t="shared" si="567"/>
        <v>6700</v>
      </c>
      <c r="G1050" s="153"/>
      <c r="H1050" s="153">
        <f t="shared" si="571"/>
        <v>6700</v>
      </c>
      <c r="I1050" s="158">
        <v>7901</v>
      </c>
      <c r="J1050" s="159">
        <v>16400</v>
      </c>
      <c r="K1050" s="153"/>
      <c r="L1050" s="153">
        <v>16400</v>
      </c>
      <c r="M1050" s="153"/>
      <c r="N1050" s="153">
        <f t="shared" si="575"/>
        <v>16400</v>
      </c>
      <c r="O1050" s="153">
        <v>11246</v>
      </c>
      <c r="P1050" s="155">
        <v>13000</v>
      </c>
      <c r="Q1050" s="87">
        <f t="shared" si="572"/>
        <v>-0.2073170731707317</v>
      </c>
      <c r="R1050" s="203" t="s">
        <v>975</v>
      </c>
    </row>
    <row r="1051" spans="1:26" s="49" customFormat="1" ht="14.1" customHeight="1" x14ac:dyDescent="0.2">
      <c r="A1051" s="228"/>
      <c r="B1051" s="185"/>
      <c r="C1051" s="154" t="s">
        <v>227</v>
      </c>
      <c r="D1051" s="157">
        <v>8000</v>
      </c>
      <c r="E1051" s="158"/>
      <c r="F1051" s="153">
        <f t="shared" si="567"/>
        <v>8000</v>
      </c>
      <c r="G1051" s="153"/>
      <c r="H1051" s="153">
        <f t="shared" si="571"/>
        <v>8000</v>
      </c>
      <c r="I1051" s="158">
        <v>6017</v>
      </c>
      <c r="J1051" s="159">
        <v>11500</v>
      </c>
      <c r="K1051" s="153"/>
      <c r="L1051" s="153">
        <v>11500</v>
      </c>
      <c r="M1051" s="153"/>
      <c r="N1051" s="153">
        <f t="shared" si="575"/>
        <v>11500</v>
      </c>
      <c r="O1051" s="153">
        <v>10055</v>
      </c>
      <c r="P1051" s="155">
        <v>13200</v>
      </c>
      <c r="Q1051" s="87">
        <f t="shared" si="572"/>
        <v>0.14782608695652175</v>
      </c>
      <c r="R1051" s="203" t="s">
        <v>976</v>
      </c>
    </row>
    <row r="1052" spans="1:26" s="49" customFormat="1" ht="14.1" customHeight="1" x14ac:dyDescent="0.2">
      <c r="A1052" s="228"/>
      <c r="B1052" s="185"/>
      <c r="C1052" s="154" t="s">
        <v>347</v>
      </c>
      <c r="D1052" s="157">
        <v>1910</v>
      </c>
      <c r="E1052" s="158"/>
      <c r="F1052" s="153">
        <f t="shared" si="567"/>
        <v>1910</v>
      </c>
      <c r="G1052" s="153"/>
      <c r="H1052" s="153">
        <f t="shared" si="571"/>
        <v>1910</v>
      </c>
      <c r="I1052" s="158">
        <v>1437</v>
      </c>
      <c r="J1052" s="159"/>
      <c r="K1052" s="153"/>
      <c r="L1052" s="153"/>
      <c r="M1052" s="153"/>
      <c r="N1052" s="153">
        <f t="shared" si="575"/>
        <v>0</v>
      </c>
      <c r="O1052" s="153">
        <v>2743</v>
      </c>
      <c r="P1052" s="155">
        <v>3000</v>
      </c>
      <c r="Q1052" s="87" t="e">
        <f t="shared" si="572"/>
        <v>#DIV/0!</v>
      </c>
      <c r="R1052" s="203" t="s">
        <v>977</v>
      </c>
    </row>
    <row r="1053" spans="1:26" s="49" customFormat="1" ht="14.1" customHeight="1" x14ac:dyDescent="0.2">
      <c r="A1053" s="228"/>
      <c r="B1053" s="185"/>
      <c r="C1053" s="154" t="s">
        <v>230</v>
      </c>
      <c r="D1053" s="157"/>
      <c r="E1053" s="158"/>
      <c r="F1053" s="153"/>
      <c r="G1053" s="153"/>
      <c r="H1053" s="153"/>
      <c r="I1053" s="158"/>
      <c r="J1053" s="159">
        <v>4200</v>
      </c>
      <c r="K1053" s="153"/>
      <c r="L1053" s="153">
        <v>4200</v>
      </c>
      <c r="M1053" s="153"/>
      <c r="N1053" s="153">
        <f t="shared" si="575"/>
        <v>4200</v>
      </c>
      <c r="O1053" s="153"/>
      <c r="P1053" s="155">
        <v>0</v>
      </c>
      <c r="Q1053" s="87">
        <f t="shared" si="572"/>
        <v>-1</v>
      </c>
    </row>
    <row r="1054" spans="1:26" s="49" customFormat="1" ht="14.1" customHeight="1" x14ac:dyDescent="0.2">
      <c r="A1054" s="228"/>
      <c r="B1054" s="185"/>
      <c r="C1054" s="154" t="s">
        <v>348</v>
      </c>
      <c r="D1054" s="157">
        <v>0</v>
      </c>
      <c r="E1054" s="158"/>
      <c r="F1054" s="153">
        <f t="shared" ref="F1054:F1095" si="576">+E1054+D1054</f>
        <v>0</v>
      </c>
      <c r="G1054" s="153"/>
      <c r="H1054" s="153">
        <f t="shared" si="571"/>
        <v>0</v>
      </c>
      <c r="I1054" s="158"/>
      <c r="J1054" s="159"/>
      <c r="K1054" s="153"/>
      <c r="L1054" s="153"/>
      <c r="M1054" s="153"/>
      <c r="N1054" s="153">
        <f t="shared" si="575"/>
        <v>0</v>
      </c>
      <c r="O1054" s="153"/>
      <c r="P1054" s="155">
        <v>0</v>
      </c>
      <c r="Q1054" s="87" t="e">
        <f t="shared" si="572"/>
        <v>#DIV/0!</v>
      </c>
      <c r="R1054" s="203" t="s">
        <v>978</v>
      </c>
    </row>
    <row r="1055" spans="1:26" s="49" customFormat="1" ht="14.1" customHeight="1" x14ac:dyDescent="0.2">
      <c r="A1055" s="228"/>
      <c r="B1055" s="185"/>
      <c r="C1055" s="154" t="s">
        <v>229</v>
      </c>
      <c r="D1055" s="157">
        <v>24700</v>
      </c>
      <c r="E1055" s="158"/>
      <c r="F1055" s="153">
        <f t="shared" si="576"/>
        <v>24700</v>
      </c>
      <c r="G1055" s="153"/>
      <c r="H1055" s="153">
        <f t="shared" si="571"/>
        <v>24700</v>
      </c>
      <c r="I1055" s="158">
        <v>20635</v>
      </c>
      <c r="J1055" s="159">
        <v>43926</v>
      </c>
      <c r="K1055" s="153"/>
      <c r="L1055" s="153">
        <v>43926</v>
      </c>
      <c r="M1055" s="153"/>
      <c r="N1055" s="153">
        <f t="shared" si="575"/>
        <v>43926</v>
      </c>
      <c r="O1055" s="153">
        <v>36762</v>
      </c>
      <c r="P1055" s="155">
        <v>43994</v>
      </c>
      <c r="Q1055" s="87">
        <f t="shared" si="572"/>
        <v>1.5480580977097847E-3</v>
      </c>
      <c r="R1055" s="203" t="s">
        <v>979</v>
      </c>
    </row>
    <row r="1056" spans="1:26" s="49" customFormat="1" ht="14.1" customHeight="1" x14ac:dyDescent="0.2">
      <c r="A1056" s="228"/>
      <c r="B1056" s="185"/>
      <c r="C1056" s="154" t="s">
        <v>354</v>
      </c>
      <c r="D1056" s="157">
        <v>0</v>
      </c>
      <c r="E1056" s="158"/>
      <c r="F1056" s="153">
        <f t="shared" si="576"/>
        <v>0</v>
      </c>
      <c r="G1056" s="153"/>
      <c r="H1056" s="153">
        <f t="shared" si="571"/>
        <v>0</v>
      </c>
      <c r="I1056" s="158"/>
      <c r="J1056" s="159"/>
      <c r="K1056" s="153"/>
      <c r="L1056" s="153"/>
      <c r="M1056" s="153"/>
      <c r="N1056" s="153">
        <f t="shared" si="575"/>
        <v>0</v>
      </c>
      <c r="O1056" s="153"/>
      <c r="P1056" s="155">
        <f>+M1056+N1056</f>
        <v>0</v>
      </c>
      <c r="Q1056" s="87" t="e">
        <f t="shared" si="572"/>
        <v>#DIV/0!</v>
      </c>
      <c r="R1056" s="203"/>
    </row>
    <row r="1057" spans="1:22" ht="14.1" customHeight="1" x14ac:dyDescent="0.2">
      <c r="A1057" s="201"/>
      <c r="B1057" s="90">
        <v>5513</v>
      </c>
      <c r="C1057" s="72" t="s">
        <v>356</v>
      </c>
      <c r="D1057" s="102">
        <v>0</v>
      </c>
      <c r="E1057" s="71"/>
      <c r="F1057" s="74">
        <f t="shared" si="576"/>
        <v>0</v>
      </c>
      <c r="G1057" s="74"/>
      <c r="H1057" s="74">
        <f t="shared" si="571"/>
        <v>0</v>
      </c>
      <c r="I1057" s="71"/>
      <c r="J1057" s="73">
        <v>600</v>
      </c>
      <c r="K1057" s="74"/>
      <c r="L1057" s="74">
        <v>600</v>
      </c>
      <c r="M1057" s="74"/>
      <c r="N1057" s="74">
        <f>+L1057+M1057</f>
        <v>600</v>
      </c>
      <c r="O1057" s="74">
        <v>298</v>
      </c>
      <c r="P1057" s="67">
        <v>500</v>
      </c>
      <c r="Q1057" s="87">
        <f t="shared" si="572"/>
        <v>-0.16666666666666666</v>
      </c>
      <c r="R1057" s="203" t="s">
        <v>983</v>
      </c>
    </row>
    <row r="1058" spans="1:22" ht="14.1" customHeight="1" x14ac:dyDescent="0.2">
      <c r="A1058" s="201"/>
      <c r="B1058" s="90">
        <v>5514</v>
      </c>
      <c r="C1058" s="72" t="s">
        <v>357</v>
      </c>
      <c r="D1058" s="102">
        <v>2000</v>
      </c>
      <c r="E1058" s="71"/>
      <c r="F1058" s="74">
        <f t="shared" si="576"/>
        <v>2000</v>
      </c>
      <c r="G1058" s="74">
        <v>12390</v>
      </c>
      <c r="H1058" s="74">
        <f t="shared" si="571"/>
        <v>14390</v>
      </c>
      <c r="I1058" s="71">
        <v>1833</v>
      </c>
      <c r="J1058" s="73">
        <v>5000</v>
      </c>
      <c r="K1058" s="74"/>
      <c r="L1058" s="74">
        <v>5000</v>
      </c>
      <c r="M1058" s="74"/>
      <c r="N1058" s="74">
        <f t="shared" ref="N1058:N1066" si="577">+L1058+M1058</f>
        <v>5000</v>
      </c>
      <c r="O1058" s="74">
        <v>4219</v>
      </c>
      <c r="P1058" s="67">
        <v>6500</v>
      </c>
      <c r="Q1058" s="87">
        <f t="shared" si="572"/>
        <v>0.3</v>
      </c>
      <c r="R1058" s="203" t="s">
        <v>984</v>
      </c>
    </row>
    <row r="1059" spans="1:22" ht="14.1" customHeight="1" x14ac:dyDescent="0.2">
      <c r="A1059" s="201"/>
      <c r="B1059" s="90">
        <v>5515</v>
      </c>
      <c r="C1059" s="72" t="s">
        <v>358</v>
      </c>
      <c r="D1059" s="102">
        <v>2000</v>
      </c>
      <c r="E1059" s="71"/>
      <c r="F1059" s="74">
        <f t="shared" si="576"/>
        <v>2000</v>
      </c>
      <c r="G1059" s="74">
        <v>16200</v>
      </c>
      <c r="H1059" s="74">
        <f t="shared" si="571"/>
        <v>18200</v>
      </c>
      <c r="I1059" s="71">
        <v>1191</v>
      </c>
      <c r="J1059" s="73">
        <v>4000</v>
      </c>
      <c r="K1059" s="74"/>
      <c r="L1059" s="74">
        <v>4000</v>
      </c>
      <c r="M1059" s="74"/>
      <c r="N1059" s="74">
        <f t="shared" si="577"/>
        <v>4000</v>
      </c>
      <c r="O1059" s="74">
        <v>3759</v>
      </c>
      <c r="P1059" s="67">
        <v>6000</v>
      </c>
      <c r="Q1059" s="87">
        <f t="shared" si="572"/>
        <v>0.5</v>
      </c>
      <c r="R1059" s="203" t="s">
        <v>985</v>
      </c>
      <c r="S1059" s="171"/>
    </row>
    <row r="1060" spans="1:22" ht="14.1" customHeight="1" x14ac:dyDescent="0.2">
      <c r="A1060" s="201"/>
      <c r="B1060" s="90">
        <v>5516</v>
      </c>
      <c r="C1060" s="72" t="s">
        <v>341</v>
      </c>
      <c r="D1060" s="102">
        <v>1000</v>
      </c>
      <c r="E1060" s="71"/>
      <c r="F1060" s="74">
        <f t="shared" si="576"/>
        <v>1000</v>
      </c>
      <c r="G1060" s="74"/>
      <c r="H1060" s="74">
        <f t="shared" si="571"/>
        <v>1000</v>
      </c>
      <c r="I1060" s="71"/>
      <c r="J1060" s="73">
        <v>11200</v>
      </c>
      <c r="K1060" s="74"/>
      <c r="L1060" s="74">
        <v>11200</v>
      </c>
      <c r="M1060" s="74"/>
      <c r="N1060" s="74">
        <f t="shared" si="577"/>
        <v>11200</v>
      </c>
      <c r="O1060" s="74"/>
      <c r="P1060" s="67">
        <v>13200</v>
      </c>
      <c r="Q1060" s="87">
        <f t="shared" si="572"/>
        <v>0.17857142857142858</v>
      </c>
      <c r="R1060" s="203" t="s">
        <v>986</v>
      </c>
      <c r="S1060" s="171"/>
    </row>
    <row r="1061" spans="1:22" ht="14.1" customHeight="1" x14ac:dyDescent="0.2">
      <c r="A1061" s="201"/>
      <c r="B1061" s="90">
        <v>5521</v>
      </c>
      <c r="C1061" s="72" t="s">
        <v>263</v>
      </c>
      <c r="D1061" s="102">
        <v>88200</v>
      </c>
      <c r="E1061" s="71"/>
      <c r="F1061" s="74">
        <f t="shared" si="576"/>
        <v>88200</v>
      </c>
      <c r="G1061" s="74"/>
      <c r="H1061" s="74">
        <f t="shared" si="571"/>
        <v>88200</v>
      </c>
      <c r="I1061" s="71">
        <v>55613</v>
      </c>
      <c r="J1061" s="73">
        <v>65659</v>
      </c>
      <c r="K1061" s="74"/>
      <c r="L1061" s="74">
        <v>65659</v>
      </c>
      <c r="M1061" s="74"/>
      <c r="N1061" s="74">
        <f t="shared" si="577"/>
        <v>65659</v>
      </c>
      <c r="O1061" s="74">
        <v>55184</v>
      </c>
      <c r="P1061" s="67">
        <v>80000</v>
      </c>
      <c r="Q1061" s="87">
        <f t="shared" si="572"/>
        <v>0.21841636333175954</v>
      </c>
      <c r="R1061" s="203"/>
      <c r="S1061" s="171"/>
    </row>
    <row r="1062" spans="1:22" ht="14.1" customHeight="1" x14ac:dyDescent="0.2">
      <c r="A1062" s="201"/>
      <c r="B1062" s="90">
        <v>5522</v>
      </c>
      <c r="C1062" s="72" t="s">
        <v>137</v>
      </c>
      <c r="D1062" s="102">
        <v>1000</v>
      </c>
      <c r="E1062" s="71"/>
      <c r="F1062" s="74">
        <f t="shared" si="576"/>
        <v>1000</v>
      </c>
      <c r="G1062" s="74"/>
      <c r="H1062" s="74">
        <f t="shared" si="571"/>
        <v>1000</v>
      </c>
      <c r="I1062" s="71">
        <v>949</v>
      </c>
      <c r="J1062" s="73">
        <v>2500</v>
      </c>
      <c r="K1062" s="74"/>
      <c r="L1062" s="74">
        <v>2500</v>
      </c>
      <c r="M1062" s="74"/>
      <c r="N1062" s="74">
        <f t="shared" si="577"/>
        <v>2500</v>
      </c>
      <c r="O1062" s="74">
        <v>268</v>
      </c>
      <c r="P1062" s="67">
        <v>4000</v>
      </c>
      <c r="Q1062" s="87">
        <f t="shared" si="572"/>
        <v>0.6</v>
      </c>
      <c r="R1062" s="203" t="s">
        <v>987</v>
      </c>
      <c r="S1062" s="171"/>
    </row>
    <row r="1063" spans="1:22" ht="14.1" customHeight="1" x14ac:dyDescent="0.2">
      <c r="A1063" s="201"/>
      <c r="B1063" s="90">
        <v>5524</v>
      </c>
      <c r="C1063" s="72" t="s">
        <v>345</v>
      </c>
      <c r="D1063" s="102">
        <v>12220</v>
      </c>
      <c r="E1063" s="71"/>
      <c r="F1063" s="74">
        <f t="shared" si="576"/>
        <v>12220</v>
      </c>
      <c r="G1063" s="74">
        <v>15410</v>
      </c>
      <c r="H1063" s="74">
        <f t="shared" si="571"/>
        <v>27630</v>
      </c>
      <c r="I1063" s="71">
        <v>6854</v>
      </c>
      <c r="J1063" s="73">
        <v>22000</v>
      </c>
      <c r="K1063" s="74"/>
      <c r="L1063" s="74">
        <v>22000</v>
      </c>
      <c r="M1063" s="74"/>
      <c r="N1063" s="74">
        <f t="shared" si="577"/>
        <v>22000</v>
      </c>
      <c r="O1063" s="74">
        <v>18057</v>
      </c>
      <c r="P1063" s="67">
        <v>24000</v>
      </c>
      <c r="Q1063" s="87">
        <f t="shared" si="572"/>
        <v>9.0909090909090912E-2</v>
      </c>
      <c r="R1063" s="204" t="s">
        <v>1361</v>
      </c>
      <c r="S1063" s="171"/>
    </row>
    <row r="1064" spans="1:22" ht="14.1" customHeight="1" x14ac:dyDescent="0.2">
      <c r="A1064" s="201"/>
      <c r="B1064" s="90">
        <v>5525</v>
      </c>
      <c r="C1064" s="72" t="s">
        <v>139</v>
      </c>
      <c r="D1064" s="102">
        <v>1000</v>
      </c>
      <c r="E1064" s="71"/>
      <c r="F1064" s="74">
        <f t="shared" si="576"/>
        <v>1000</v>
      </c>
      <c r="G1064" s="74"/>
      <c r="H1064" s="74">
        <f t="shared" si="571"/>
        <v>1000</v>
      </c>
      <c r="I1064" s="71">
        <v>221</v>
      </c>
      <c r="J1064" s="73">
        <v>2200</v>
      </c>
      <c r="K1064" s="74"/>
      <c r="L1064" s="74">
        <v>2200</v>
      </c>
      <c r="M1064" s="74"/>
      <c r="N1064" s="74">
        <f t="shared" si="577"/>
        <v>2200</v>
      </c>
      <c r="O1064" s="74">
        <v>1266</v>
      </c>
      <c r="P1064" s="67">
        <v>3000</v>
      </c>
      <c r="Q1064" s="87">
        <f t="shared" si="572"/>
        <v>0.36363636363636365</v>
      </c>
      <c r="R1064" s="203"/>
    </row>
    <row r="1065" spans="1:22" ht="14.1" customHeight="1" x14ac:dyDescent="0.2">
      <c r="A1065" s="201"/>
      <c r="B1065" s="90">
        <v>5532</v>
      </c>
      <c r="C1065" s="72" t="s">
        <v>981</v>
      </c>
      <c r="D1065" s="102"/>
      <c r="E1065" s="71"/>
      <c r="F1065" s="74"/>
      <c r="G1065" s="74"/>
      <c r="H1065" s="74"/>
      <c r="I1065" s="71"/>
      <c r="J1065" s="73"/>
      <c r="K1065" s="74"/>
      <c r="L1065" s="74"/>
      <c r="M1065" s="74"/>
      <c r="N1065" s="74"/>
      <c r="O1065" s="74"/>
      <c r="P1065" s="67">
        <v>1000</v>
      </c>
      <c r="Q1065" s="87">
        <v>1</v>
      </c>
      <c r="R1065" s="203" t="s">
        <v>982</v>
      </c>
    </row>
    <row r="1066" spans="1:22" ht="14.1" customHeight="1" x14ac:dyDescent="0.2">
      <c r="A1066" s="89"/>
      <c r="B1066" s="90">
        <v>5540</v>
      </c>
      <c r="C1066" s="72" t="s">
        <v>193</v>
      </c>
      <c r="D1066" s="102">
        <v>2200</v>
      </c>
      <c r="E1066" s="71"/>
      <c r="F1066" s="74">
        <f t="shared" si="576"/>
        <v>2200</v>
      </c>
      <c r="G1066" s="74"/>
      <c r="H1066" s="74">
        <f t="shared" si="571"/>
        <v>2200</v>
      </c>
      <c r="I1066" s="71">
        <v>1515</v>
      </c>
      <c r="J1066" s="73">
        <v>4500</v>
      </c>
      <c r="K1066" s="74"/>
      <c r="L1066" s="74">
        <v>4500</v>
      </c>
      <c r="M1066" s="74"/>
      <c r="N1066" s="74">
        <f t="shared" si="577"/>
        <v>4500</v>
      </c>
      <c r="O1066" s="74">
        <v>980</v>
      </c>
      <c r="P1066" s="67">
        <v>4400</v>
      </c>
      <c r="Q1066" s="87">
        <f t="shared" si="572"/>
        <v>-2.2222222222222223E-2</v>
      </c>
      <c r="R1066" s="203"/>
    </row>
    <row r="1067" spans="1:22" ht="14.1" customHeight="1" x14ac:dyDescent="0.2">
      <c r="A1067" s="146" t="s">
        <v>687</v>
      </c>
      <c r="B1067" s="147"/>
      <c r="C1067" s="148" t="s">
        <v>360</v>
      </c>
      <c r="D1067" s="149">
        <v>260000</v>
      </c>
      <c r="E1067" s="151">
        <f>+E1068</f>
        <v>80000</v>
      </c>
      <c r="F1067" s="137">
        <f t="shared" si="576"/>
        <v>340000</v>
      </c>
      <c r="G1067" s="137">
        <f>+G1068</f>
        <v>30000</v>
      </c>
      <c r="H1067" s="137">
        <f>+H1068</f>
        <v>370000</v>
      </c>
      <c r="I1067" s="151">
        <f>+I1068</f>
        <v>300121</v>
      </c>
      <c r="J1067" s="189">
        <f>+J1068</f>
        <v>340000</v>
      </c>
      <c r="K1067" s="137"/>
      <c r="L1067" s="137">
        <f>+L1068</f>
        <v>340000</v>
      </c>
      <c r="M1067" s="137">
        <f t="shared" ref="M1067:P1067" si="578">+M1068</f>
        <v>60000</v>
      </c>
      <c r="N1067" s="137">
        <f t="shared" si="578"/>
        <v>400000</v>
      </c>
      <c r="O1067" s="137">
        <f t="shared" si="578"/>
        <v>374139</v>
      </c>
      <c r="P1067" s="137">
        <f t="shared" si="578"/>
        <v>450000</v>
      </c>
      <c r="Q1067" s="87">
        <f t="shared" si="572"/>
        <v>0.125</v>
      </c>
      <c r="R1067" s="203"/>
    </row>
    <row r="1068" spans="1:22" ht="14.1" customHeight="1" x14ac:dyDescent="0.2">
      <c r="A1068" s="89"/>
      <c r="B1068" s="95" t="s">
        <v>103</v>
      </c>
      <c r="C1068" s="96" t="s">
        <v>104</v>
      </c>
      <c r="D1068" s="102">
        <v>260000</v>
      </c>
      <c r="E1068" s="71">
        <v>80000</v>
      </c>
      <c r="F1068" s="74">
        <f t="shared" si="576"/>
        <v>340000</v>
      </c>
      <c r="G1068" s="74">
        <v>30000</v>
      </c>
      <c r="H1068" s="74">
        <v>370000</v>
      </c>
      <c r="I1068" s="71">
        <v>300121</v>
      </c>
      <c r="J1068" s="57">
        <v>340000</v>
      </c>
      <c r="K1068" s="74"/>
      <c r="L1068" s="141">
        <v>340000</v>
      </c>
      <c r="M1068" s="92">
        <v>60000</v>
      </c>
      <c r="N1068" s="141">
        <f>+L1068+M1068</f>
        <v>400000</v>
      </c>
      <c r="O1068" s="141">
        <f>O1069+O1070</f>
        <v>374139</v>
      </c>
      <c r="P1068" s="141">
        <f>P1069+P1070</f>
        <v>450000</v>
      </c>
      <c r="Q1068" s="87">
        <f t="shared" si="572"/>
        <v>0.125</v>
      </c>
      <c r="R1068" s="206"/>
    </row>
    <row r="1069" spans="1:22" ht="14.1" customHeight="1" x14ac:dyDescent="0.2">
      <c r="A1069" s="89"/>
      <c r="B1069" s="90">
        <v>5514</v>
      </c>
      <c r="C1069" s="72" t="s">
        <v>297</v>
      </c>
      <c r="D1069" s="102"/>
      <c r="E1069" s="71"/>
      <c r="F1069" s="74"/>
      <c r="G1069" s="74"/>
      <c r="H1069" s="74"/>
      <c r="I1069" s="71"/>
      <c r="K1069" s="73"/>
      <c r="L1069" s="166"/>
      <c r="M1069" s="205"/>
      <c r="N1069" s="73"/>
      <c r="O1069" s="73">
        <v>3384</v>
      </c>
      <c r="P1069" s="73">
        <v>4100</v>
      </c>
      <c r="Q1069" s="87"/>
      <c r="R1069" s="206"/>
      <c r="S1069" s="56" t="s">
        <v>688</v>
      </c>
    </row>
    <row r="1070" spans="1:22" ht="14.1" customHeight="1" x14ac:dyDescent="0.2">
      <c r="A1070" s="89"/>
      <c r="B1070" s="90">
        <v>5524</v>
      </c>
      <c r="C1070" s="72" t="s">
        <v>1561</v>
      </c>
      <c r="D1070" s="102"/>
      <c r="E1070" s="71"/>
      <c r="F1070" s="74"/>
      <c r="G1070" s="74"/>
      <c r="H1070" s="74"/>
      <c r="I1070" s="71"/>
      <c r="K1070" s="73"/>
      <c r="L1070" s="166"/>
      <c r="M1070" s="205"/>
      <c r="N1070" s="73"/>
      <c r="O1070" s="73">
        <v>370755</v>
      </c>
      <c r="P1070" s="73">
        <v>445900</v>
      </c>
      <c r="Q1070" s="87"/>
      <c r="R1070" s="206"/>
    </row>
    <row r="1071" spans="1:22" ht="14.1" customHeight="1" x14ac:dyDescent="0.2">
      <c r="A1071" s="146" t="s">
        <v>693</v>
      </c>
      <c r="B1071" s="147"/>
      <c r="C1071" s="148" t="s">
        <v>361</v>
      </c>
      <c r="D1071" s="149">
        <v>577080</v>
      </c>
      <c r="E1071" s="151">
        <f>+E1072+E1073</f>
        <v>-49501</v>
      </c>
      <c r="F1071" s="137">
        <f t="shared" si="576"/>
        <v>527579</v>
      </c>
      <c r="G1071" s="137">
        <f>+G1072+G1073</f>
        <v>10000</v>
      </c>
      <c r="H1071" s="137">
        <f>+H1072+H1073</f>
        <v>537579</v>
      </c>
      <c r="I1071" s="151">
        <f>+I1072+I1073</f>
        <v>463409</v>
      </c>
      <c r="J1071" s="152">
        <f>+J1072+J1073</f>
        <v>579699</v>
      </c>
      <c r="K1071" s="152">
        <f t="shared" ref="K1071:L1071" si="579">+K1072+K1073</f>
        <v>-6000</v>
      </c>
      <c r="L1071" s="152">
        <f t="shared" si="579"/>
        <v>577699</v>
      </c>
      <c r="M1071" s="152">
        <f t="shared" ref="M1071:N1071" si="580">+M1072+M1073</f>
        <v>26465</v>
      </c>
      <c r="N1071" s="152">
        <f t="shared" si="580"/>
        <v>604164</v>
      </c>
      <c r="O1071" s="152">
        <f t="shared" ref="O1071:P1071" si="581">+O1072+O1073</f>
        <v>460068</v>
      </c>
      <c r="P1071" s="152">
        <f t="shared" si="581"/>
        <v>656500</v>
      </c>
      <c r="Q1071" s="87">
        <f t="shared" si="572"/>
        <v>8.6625485795247648E-2</v>
      </c>
      <c r="R1071" s="204" t="s">
        <v>995</v>
      </c>
    </row>
    <row r="1072" spans="1:22" ht="14.1" customHeight="1" x14ac:dyDescent="0.2">
      <c r="A1072" s="89"/>
      <c r="B1072" s="95" t="s">
        <v>101</v>
      </c>
      <c r="C1072" s="96" t="s">
        <v>102</v>
      </c>
      <c r="D1072" s="43">
        <v>467230</v>
      </c>
      <c r="E1072" s="97">
        <v>-35056</v>
      </c>
      <c r="F1072" s="98">
        <f t="shared" si="576"/>
        <v>432174</v>
      </c>
      <c r="G1072" s="98">
        <v>7000</v>
      </c>
      <c r="H1072" s="98">
        <f>+G1072+F1072</f>
        <v>439174</v>
      </c>
      <c r="I1072" s="97">
        <v>375902</v>
      </c>
      <c r="J1072" s="99">
        <v>464899</v>
      </c>
      <c r="K1072" s="98"/>
      <c r="L1072" s="182">
        <v>464899</v>
      </c>
      <c r="M1072" s="230">
        <v>465</v>
      </c>
      <c r="N1072" s="182">
        <f>+L1072+M1072</f>
        <v>465364</v>
      </c>
      <c r="O1072" s="182">
        <v>344482</v>
      </c>
      <c r="P1072" s="78">
        <v>527043</v>
      </c>
      <c r="Q1072" s="87">
        <f t="shared" si="572"/>
        <v>0.13253925959034218</v>
      </c>
      <c r="R1072" s="203" t="s">
        <v>962</v>
      </c>
      <c r="V1072" s="56" t="s">
        <v>996</v>
      </c>
    </row>
    <row r="1073" spans="1:26" ht="14.1" customHeight="1" x14ac:dyDescent="0.2">
      <c r="A1073" s="89"/>
      <c r="B1073" s="95" t="s">
        <v>103</v>
      </c>
      <c r="C1073" s="96" t="s">
        <v>104</v>
      </c>
      <c r="D1073" s="43">
        <v>109850</v>
      </c>
      <c r="E1073" s="97">
        <f>+E1074+E1075+E1076+E1087+E1088+E1089+E1091+E1092+E1093+E1094+E1095</f>
        <v>-14445</v>
      </c>
      <c r="F1073" s="98">
        <f t="shared" si="576"/>
        <v>95405</v>
      </c>
      <c r="G1073" s="98">
        <v>3000</v>
      </c>
      <c r="H1073" s="98">
        <f t="shared" ref="H1073:H1095" si="582">+G1073+F1073</f>
        <v>98405</v>
      </c>
      <c r="I1073" s="97">
        <f>+I1074+I1075+I1076+I1087+I1088+I1089+I1091+I1092+I1093+I1094+I1095</f>
        <v>87507</v>
      </c>
      <c r="J1073" s="99">
        <f>+J1074+J1075+J1076+J1087+J1088+J1089+J1091+J1092+J1093+J1094+J1095</f>
        <v>114800</v>
      </c>
      <c r="K1073" s="99">
        <f>+K1074+K1075+K1076+K1087+K1088+K1089+K1091+K1092+K1093+K1094+K1095</f>
        <v>-6000</v>
      </c>
      <c r="L1073" s="231">
        <f>+L1074+L1075+L1076+L1087+L1088+L1089+L1091+L1092+L1093+L1094+L1095</f>
        <v>112800</v>
      </c>
      <c r="M1073" s="231">
        <f t="shared" ref="M1073:N1073" si="583">+M1074+M1075+M1076+M1087+M1088+M1089+M1091+M1092+M1093+M1094+M1095</f>
        <v>26000</v>
      </c>
      <c r="N1073" s="231">
        <f t="shared" si="583"/>
        <v>138800</v>
      </c>
      <c r="O1073" s="231">
        <f t="shared" ref="O1073" si="584">+O1074+O1075+O1076+O1087+O1088+O1089+O1091+O1092+O1093+O1094+O1095</f>
        <v>115586</v>
      </c>
      <c r="P1073" s="231">
        <f>+P1074+P1075+P1076+P1087+P1088+P1089+P1091+P1092+P1093+P1094+P1095+P1090</f>
        <v>129457</v>
      </c>
      <c r="Q1073" s="87">
        <f t="shared" si="572"/>
        <v>-6.7312680115273776E-2</v>
      </c>
      <c r="R1073" s="203"/>
    </row>
    <row r="1074" spans="1:26" ht="14.1" customHeight="1" x14ac:dyDescent="0.2">
      <c r="A1074" s="89"/>
      <c r="B1074" s="90">
        <v>5500</v>
      </c>
      <c r="C1074" s="72" t="s">
        <v>180</v>
      </c>
      <c r="D1074" s="102">
        <v>2000</v>
      </c>
      <c r="E1074" s="71">
        <v>-240</v>
      </c>
      <c r="F1074" s="74">
        <f t="shared" si="576"/>
        <v>1760</v>
      </c>
      <c r="G1074" s="74"/>
      <c r="H1074" s="74">
        <f t="shared" si="582"/>
        <v>1760</v>
      </c>
      <c r="I1074" s="71">
        <v>1043</v>
      </c>
      <c r="J1074" s="73">
        <v>2100</v>
      </c>
      <c r="K1074" s="74"/>
      <c r="L1074" s="74">
        <v>2100</v>
      </c>
      <c r="M1074" s="74"/>
      <c r="N1074" s="74">
        <f>+L1074+M1074</f>
        <v>2100</v>
      </c>
      <c r="O1074" s="74">
        <v>1613</v>
      </c>
      <c r="P1074" s="67">
        <f>+M1074+N1074</f>
        <v>2100</v>
      </c>
      <c r="Q1074" s="87">
        <f t="shared" si="572"/>
        <v>0</v>
      </c>
      <c r="R1074" s="203"/>
    </row>
    <row r="1075" spans="1:26" ht="14.1" customHeight="1" x14ac:dyDescent="0.2">
      <c r="A1075" s="89"/>
      <c r="B1075" s="90">
        <v>5504</v>
      </c>
      <c r="C1075" s="72" t="s">
        <v>118</v>
      </c>
      <c r="D1075" s="102">
        <v>2800</v>
      </c>
      <c r="E1075" s="71">
        <v>-385</v>
      </c>
      <c r="F1075" s="74">
        <f t="shared" si="576"/>
        <v>2415</v>
      </c>
      <c r="G1075" s="74"/>
      <c r="H1075" s="74">
        <f t="shared" si="582"/>
        <v>2415</v>
      </c>
      <c r="I1075" s="71">
        <v>1205</v>
      </c>
      <c r="J1075" s="73">
        <v>2500</v>
      </c>
      <c r="K1075" s="74"/>
      <c r="L1075" s="74">
        <v>2500</v>
      </c>
      <c r="M1075" s="74"/>
      <c r="N1075" s="74">
        <f>+L1075+M1075</f>
        <v>2500</v>
      </c>
      <c r="O1075" s="74">
        <v>3838</v>
      </c>
      <c r="P1075" s="67">
        <v>2750</v>
      </c>
      <c r="Q1075" s="87">
        <f t="shared" si="572"/>
        <v>0.1</v>
      </c>
      <c r="R1075" s="203"/>
    </row>
    <row r="1076" spans="1:26" ht="14.1" customHeight="1" x14ac:dyDescent="0.2">
      <c r="A1076" s="89"/>
      <c r="B1076" s="90">
        <v>5511</v>
      </c>
      <c r="C1076" s="72" t="s">
        <v>362</v>
      </c>
      <c r="D1076" s="102">
        <v>55850</v>
      </c>
      <c r="E1076" s="71">
        <v>-4860</v>
      </c>
      <c r="F1076" s="74">
        <f t="shared" si="576"/>
        <v>50990</v>
      </c>
      <c r="G1076" s="74"/>
      <c r="H1076" s="74">
        <f t="shared" si="582"/>
        <v>50990</v>
      </c>
      <c r="I1076" s="71">
        <f>SUM(I1077:I1086)</f>
        <v>49828</v>
      </c>
      <c r="J1076" s="73">
        <f>SUM(J1077:J1086)</f>
        <v>59900</v>
      </c>
      <c r="K1076" s="73">
        <f>SUM(K1077:K1086)</f>
        <v>0</v>
      </c>
      <c r="L1076" s="73">
        <f>SUM(L1077:L1086)</f>
        <v>59900</v>
      </c>
      <c r="M1076" s="232">
        <f t="shared" ref="M1076:O1076" si="585">SUM(M1077:M1086)</f>
        <v>24000</v>
      </c>
      <c r="N1076" s="73">
        <f t="shared" si="585"/>
        <v>71444</v>
      </c>
      <c r="O1076" s="73">
        <f t="shared" si="585"/>
        <v>63489</v>
      </c>
      <c r="P1076" s="127">
        <f t="shared" ref="P1076" si="586">SUM(P1077:P1086)</f>
        <v>71507</v>
      </c>
      <c r="Q1076" s="87">
        <f t="shared" si="572"/>
        <v>8.8180952914170539E-4</v>
      </c>
      <c r="R1076" s="206"/>
    </row>
    <row r="1077" spans="1:26" ht="14.1" customHeight="1" x14ac:dyDescent="0.2">
      <c r="A1077" s="89"/>
      <c r="B1077" s="90"/>
      <c r="C1077" s="154" t="s">
        <v>223</v>
      </c>
      <c r="D1077" s="102"/>
      <c r="E1077" s="71"/>
      <c r="F1077" s="153">
        <f t="shared" si="576"/>
        <v>0</v>
      </c>
      <c r="G1077" s="153"/>
      <c r="H1077" s="153">
        <f t="shared" si="582"/>
        <v>0</v>
      </c>
      <c r="I1077" s="158">
        <v>33630</v>
      </c>
      <c r="J1077" s="159">
        <v>44000</v>
      </c>
      <c r="K1077" s="153"/>
      <c r="L1077" s="153">
        <f>+K1077+J1077</f>
        <v>44000</v>
      </c>
      <c r="M1077" s="153"/>
      <c r="N1077" s="153">
        <f t="shared" ref="N1077:N1086" si="587">+M1077+L1077</f>
        <v>44000</v>
      </c>
      <c r="O1077" s="153">
        <v>32921</v>
      </c>
      <c r="P1077" s="155">
        <v>45000</v>
      </c>
      <c r="Q1077" s="87">
        <f t="shared" si="572"/>
        <v>2.2727272727272728E-2</v>
      </c>
      <c r="R1077" s="206" t="s">
        <v>1473</v>
      </c>
    </row>
    <row r="1078" spans="1:26" ht="14.1" customHeight="1" x14ac:dyDescent="0.2">
      <c r="A1078" s="89"/>
      <c r="B1078" s="90"/>
      <c r="C1078" s="154" t="s">
        <v>224</v>
      </c>
      <c r="D1078" s="102">
        <v>0</v>
      </c>
      <c r="E1078" s="71"/>
      <c r="F1078" s="153">
        <f t="shared" si="576"/>
        <v>0</v>
      </c>
      <c r="G1078" s="153"/>
      <c r="H1078" s="153">
        <f t="shared" si="582"/>
        <v>0</v>
      </c>
      <c r="I1078" s="158">
        <v>7732</v>
      </c>
      <c r="J1078" s="159">
        <v>6600</v>
      </c>
      <c r="K1078" s="153"/>
      <c r="L1078" s="153">
        <f t="shared" ref="L1078:L1086" si="588">+K1078+J1078</f>
        <v>6600</v>
      </c>
      <c r="M1078" s="153"/>
      <c r="N1078" s="153">
        <f t="shared" si="587"/>
        <v>6600</v>
      </c>
      <c r="O1078" s="153">
        <v>6739</v>
      </c>
      <c r="P1078" s="155">
        <v>10000</v>
      </c>
      <c r="Q1078" s="87">
        <f t="shared" si="572"/>
        <v>0.51515151515151514</v>
      </c>
      <c r="R1078" s="203"/>
    </row>
    <row r="1079" spans="1:26" ht="14.1" customHeight="1" x14ac:dyDescent="0.2">
      <c r="A1079" s="89"/>
      <c r="B1079" s="90"/>
      <c r="C1079" s="154" t="s">
        <v>225</v>
      </c>
      <c r="D1079" s="102">
        <v>0</v>
      </c>
      <c r="E1079" s="71"/>
      <c r="F1079" s="153">
        <f t="shared" si="576"/>
        <v>0</v>
      </c>
      <c r="G1079" s="153"/>
      <c r="H1079" s="153">
        <f t="shared" si="582"/>
        <v>0</v>
      </c>
      <c r="I1079" s="158">
        <v>2177</v>
      </c>
      <c r="J1079" s="159">
        <v>2600</v>
      </c>
      <c r="K1079" s="153"/>
      <c r="L1079" s="153">
        <f t="shared" si="588"/>
        <v>2600</v>
      </c>
      <c r="M1079" s="153"/>
      <c r="N1079" s="153">
        <f t="shared" si="587"/>
        <v>2600</v>
      </c>
      <c r="O1079" s="153">
        <v>3511</v>
      </c>
      <c r="P1079" s="155">
        <v>4000</v>
      </c>
      <c r="Q1079" s="87">
        <f t="shared" si="572"/>
        <v>0.53846153846153844</v>
      </c>
      <c r="R1079" s="203" t="s">
        <v>988</v>
      </c>
      <c r="Z1079" s="49"/>
    </row>
    <row r="1080" spans="1:26" ht="14.1" customHeight="1" x14ac:dyDescent="0.2">
      <c r="A1080" s="89"/>
      <c r="B1080" s="90"/>
      <c r="C1080" s="154" t="s">
        <v>226</v>
      </c>
      <c r="D1080" s="102">
        <v>0</v>
      </c>
      <c r="E1080" s="71"/>
      <c r="F1080" s="153">
        <f t="shared" si="576"/>
        <v>0</v>
      </c>
      <c r="G1080" s="153"/>
      <c r="H1080" s="153">
        <f t="shared" si="582"/>
        <v>0</v>
      </c>
      <c r="I1080" s="158">
        <v>2276</v>
      </c>
      <c r="J1080" s="159">
        <v>2200</v>
      </c>
      <c r="K1080" s="153"/>
      <c r="L1080" s="153">
        <f t="shared" si="588"/>
        <v>2200</v>
      </c>
      <c r="M1080" s="153"/>
      <c r="N1080" s="153">
        <f t="shared" si="587"/>
        <v>2200</v>
      </c>
      <c r="O1080" s="153">
        <v>3291</v>
      </c>
      <c r="P1080" s="155">
        <v>2500</v>
      </c>
      <c r="Q1080" s="87">
        <f t="shared" si="572"/>
        <v>0.13636363636363635</v>
      </c>
      <c r="R1080" s="206"/>
      <c r="Z1080" s="49"/>
    </row>
    <row r="1081" spans="1:26" ht="14.1" customHeight="1" x14ac:dyDescent="0.2">
      <c r="A1081" s="89"/>
      <c r="B1081" s="90"/>
      <c r="C1081" s="154" t="s">
        <v>346</v>
      </c>
      <c r="D1081" s="102">
        <v>0</v>
      </c>
      <c r="E1081" s="71"/>
      <c r="F1081" s="153">
        <f t="shared" si="576"/>
        <v>0</v>
      </c>
      <c r="G1081" s="153"/>
      <c r="H1081" s="153">
        <f t="shared" si="582"/>
        <v>0</v>
      </c>
      <c r="I1081" s="158">
        <v>3367</v>
      </c>
      <c r="J1081" s="159">
        <v>4100</v>
      </c>
      <c r="K1081" s="153"/>
      <c r="L1081" s="153">
        <f t="shared" si="588"/>
        <v>4100</v>
      </c>
      <c r="M1081" s="153"/>
      <c r="N1081" s="153">
        <f t="shared" si="587"/>
        <v>4100</v>
      </c>
      <c r="O1081" s="153">
        <v>4446</v>
      </c>
      <c r="P1081" s="155">
        <v>4500</v>
      </c>
      <c r="Q1081" s="87">
        <f t="shared" si="572"/>
        <v>9.7560975609756101E-2</v>
      </c>
      <c r="R1081" s="206"/>
      <c r="Z1081" s="49"/>
    </row>
    <row r="1082" spans="1:26" ht="14.1" customHeight="1" x14ac:dyDescent="0.2">
      <c r="A1082" s="89"/>
      <c r="B1082" s="90"/>
      <c r="C1082" s="154" t="s">
        <v>230</v>
      </c>
      <c r="D1082" s="102">
        <v>0</v>
      </c>
      <c r="E1082" s="71"/>
      <c r="F1082" s="153">
        <f t="shared" si="576"/>
        <v>0</v>
      </c>
      <c r="G1082" s="153"/>
      <c r="H1082" s="153">
        <f t="shared" si="582"/>
        <v>0</v>
      </c>
      <c r="I1082" s="158"/>
      <c r="J1082" s="159"/>
      <c r="K1082" s="153"/>
      <c r="L1082" s="153">
        <f t="shared" si="588"/>
        <v>0</v>
      </c>
      <c r="M1082" s="153">
        <v>24000</v>
      </c>
      <c r="N1082" s="153">
        <f>24000-12456</f>
        <v>11544</v>
      </c>
      <c r="O1082" s="153">
        <v>12156</v>
      </c>
      <c r="P1082" s="155">
        <v>5000</v>
      </c>
      <c r="Q1082" s="87">
        <f t="shared" si="572"/>
        <v>-0.56687456687456683</v>
      </c>
      <c r="R1082" s="206"/>
      <c r="Z1082" s="49"/>
    </row>
    <row r="1083" spans="1:26" ht="14.1" customHeight="1" x14ac:dyDescent="0.2">
      <c r="A1083" s="89"/>
      <c r="B1083" s="90"/>
      <c r="C1083" s="154" t="s">
        <v>347</v>
      </c>
      <c r="D1083" s="102">
        <v>0</v>
      </c>
      <c r="E1083" s="71"/>
      <c r="F1083" s="153">
        <f t="shared" si="576"/>
        <v>0</v>
      </c>
      <c r="G1083" s="153"/>
      <c r="H1083" s="153">
        <f t="shared" si="582"/>
        <v>0</v>
      </c>
      <c r="I1083" s="158">
        <v>394</v>
      </c>
      <c r="J1083" s="159">
        <v>400</v>
      </c>
      <c r="K1083" s="153"/>
      <c r="L1083" s="153">
        <f t="shared" si="588"/>
        <v>400</v>
      </c>
      <c r="M1083" s="153"/>
      <c r="N1083" s="153">
        <f t="shared" si="587"/>
        <v>400</v>
      </c>
      <c r="O1083" s="153">
        <v>418</v>
      </c>
      <c r="P1083" s="155">
        <v>500</v>
      </c>
      <c r="Q1083" s="87">
        <f t="shared" si="572"/>
        <v>0.25</v>
      </c>
      <c r="R1083" s="206"/>
    </row>
    <row r="1084" spans="1:26" ht="14.1" customHeight="1" x14ac:dyDescent="0.2">
      <c r="A1084" s="89"/>
      <c r="B1084" s="90"/>
      <c r="C1084" s="154" t="s">
        <v>363</v>
      </c>
      <c r="D1084" s="102">
        <v>0</v>
      </c>
      <c r="E1084" s="71"/>
      <c r="F1084" s="153">
        <f t="shared" si="576"/>
        <v>0</v>
      </c>
      <c r="G1084" s="153"/>
      <c r="H1084" s="153">
        <f t="shared" si="582"/>
        <v>0</v>
      </c>
      <c r="I1084" s="158"/>
      <c r="J1084" s="159"/>
      <c r="K1084" s="153"/>
      <c r="L1084" s="153">
        <f t="shared" si="588"/>
        <v>0</v>
      </c>
      <c r="M1084" s="153"/>
      <c r="N1084" s="153">
        <f t="shared" si="587"/>
        <v>0</v>
      </c>
      <c r="O1084" s="153">
        <v>7</v>
      </c>
      <c r="P1084" s="155">
        <v>7</v>
      </c>
      <c r="Q1084" s="87" t="e">
        <f t="shared" si="572"/>
        <v>#DIV/0!</v>
      </c>
      <c r="R1084" s="206"/>
    </row>
    <row r="1085" spans="1:26" ht="14.1" customHeight="1" x14ac:dyDescent="0.2">
      <c r="A1085" s="89"/>
      <c r="B1085" s="90"/>
      <c r="C1085" s="154" t="s">
        <v>354</v>
      </c>
      <c r="D1085" s="102">
        <v>0</v>
      </c>
      <c r="E1085" s="71"/>
      <c r="F1085" s="153">
        <f t="shared" si="576"/>
        <v>0</v>
      </c>
      <c r="G1085" s="153"/>
      <c r="H1085" s="153">
        <f t="shared" si="582"/>
        <v>0</v>
      </c>
      <c r="I1085" s="158">
        <v>252</v>
      </c>
      <c r="J1085" s="159"/>
      <c r="K1085" s="153"/>
      <c r="L1085" s="153">
        <f t="shared" si="588"/>
        <v>0</v>
      </c>
      <c r="M1085" s="153"/>
      <c r="N1085" s="153">
        <f t="shared" si="587"/>
        <v>0</v>
      </c>
      <c r="O1085" s="153"/>
      <c r="P1085" s="155">
        <v>0</v>
      </c>
      <c r="Q1085" s="87" t="e">
        <f t="shared" si="572"/>
        <v>#DIV/0!</v>
      </c>
      <c r="R1085" s="206"/>
      <c r="Z1085" s="49"/>
    </row>
    <row r="1086" spans="1:26" ht="14.1" customHeight="1" x14ac:dyDescent="0.2">
      <c r="A1086" s="89"/>
      <c r="B1086" s="90"/>
      <c r="C1086" s="154" t="s">
        <v>610</v>
      </c>
      <c r="D1086" s="102">
        <v>0</v>
      </c>
      <c r="E1086" s="71"/>
      <c r="F1086" s="153">
        <f t="shared" si="576"/>
        <v>0</v>
      </c>
      <c r="G1086" s="153"/>
      <c r="H1086" s="153">
        <f t="shared" si="582"/>
        <v>0</v>
      </c>
      <c r="I1086" s="158"/>
      <c r="J1086" s="159"/>
      <c r="K1086" s="153">
        <v>0</v>
      </c>
      <c r="L1086" s="153">
        <f t="shared" si="588"/>
        <v>0</v>
      </c>
      <c r="M1086" s="153"/>
      <c r="N1086" s="153">
        <f t="shared" si="587"/>
        <v>0</v>
      </c>
      <c r="O1086" s="153"/>
      <c r="P1086" s="155">
        <v>0</v>
      </c>
      <c r="Q1086" s="87" t="e">
        <f t="shared" si="572"/>
        <v>#DIV/0!</v>
      </c>
      <c r="R1086" s="203"/>
      <c r="Z1086" s="49"/>
    </row>
    <row r="1087" spans="1:26" ht="14.1" customHeight="1" x14ac:dyDescent="0.2">
      <c r="A1087" s="89"/>
      <c r="B1087" s="90">
        <v>5513</v>
      </c>
      <c r="C1087" s="72" t="s">
        <v>243</v>
      </c>
      <c r="D1087" s="102">
        <v>1200</v>
      </c>
      <c r="E1087" s="71">
        <v>-120</v>
      </c>
      <c r="F1087" s="74">
        <f t="shared" si="576"/>
        <v>1080</v>
      </c>
      <c r="G1087" s="74"/>
      <c r="H1087" s="74">
        <f t="shared" si="582"/>
        <v>1080</v>
      </c>
      <c r="I1087" s="71">
        <v>630</v>
      </c>
      <c r="J1087" s="73">
        <v>1200</v>
      </c>
      <c r="K1087" s="74"/>
      <c r="L1087" s="74">
        <v>1200</v>
      </c>
      <c r="M1087" s="74"/>
      <c r="N1087" s="74">
        <f>+L1087+M1087</f>
        <v>1200</v>
      </c>
      <c r="O1087" s="74">
        <v>584</v>
      </c>
      <c r="P1087" s="67">
        <v>600</v>
      </c>
      <c r="Q1087" s="87">
        <f t="shared" si="572"/>
        <v>-0.5</v>
      </c>
      <c r="R1087" s="203"/>
    </row>
    <row r="1088" spans="1:26" ht="14.1" customHeight="1" x14ac:dyDescent="0.2">
      <c r="A1088" s="89"/>
      <c r="B1088" s="90">
        <v>5514</v>
      </c>
      <c r="C1088" s="72" t="s">
        <v>297</v>
      </c>
      <c r="D1088" s="102">
        <v>2000</v>
      </c>
      <c r="E1088" s="71">
        <v>-250</v>
      </c>
      <c r="F1088" s="74">
        <f t="shared" si="576"/>
        <v>1750</v>
      </c>
      <c r="G1088" s="74"/>
      <c r="H1088" s="74">
        <f t="shared" si="582"/>
        <v>1750</v>
      </c>
      <c r="I1088" s="71">
        <v>3651</v>
      </c>
      <c r="J1088" s="73">
        <v>3000</v>
      </c>
      <c r="K1088" s="74"/>
      <c r="L1088" s="74">
        <v>3000</v>
      </c>
      <c r="M1088" s="223">
        <v>2000</v>
      </c>
      <c r="N1088" s="74">
        <f t="shared" ref="N1088:N1095" si="589">+L1088+M1088</f>
        <v>5000</v>
      </c>
      <c r="O1088" s="74">
        <v>4557</v>
      </c>
      <c r="P1088" s="67">
        <v>5000</v>
      </c>
      <c r="Q1088" s="87">
        <f t="shared" si="572"/>
        <v>0</v>
      </c>
      <c r="R1088" s="203" t="s">
        <v>1362</v>
      </c>
    </row>
    <row r="1089" spans="1:26" ht="14.1" customHeight="1" x14ac:dyDescent="0.2">
      <c r="A1089" s="89"/>
      <c r="B1089" s="90">
        <v>5515</v>
      </c>
      <c r="C1089" s="72" t="s">
        <v>298</v>
      </c>
      <c r="D1089" s="102">
        <v>5000</v>
      </c>
      <c r="E1089" s="71">
        <v>-750</v>
      </c>
      <c r="F1089" s="74">
        <f t="shared" si="576"/>
        <v>4250</v>
      </c>
      <c r="G1089" s="74"/>
      <c r="H1089" s="74">
        <f t="shared" si="582"/>
        <v>4250</v>
      </c>
      <c r="I1089" s="71">
        <v>3455</v>
      </c>
      <c r="J1089" s="73">
        <v>6000</v>
      </c>
      <c r="K1089" s="74">
        <v>-6000</v>
      </c>
      <c r="L1089" s="74">
        <v>4000</v>
      </c>
      <c r="M1089" s="74"/>
      <c r="N1089" s="74">
        <f>4000+12456</f>
        <v>16456</v>
      </c>
      <c r="O1089" s="74">
        <v>15171</v>
      </c>
      <c r="P1089" s="67">
        <v>4000</v>
      </c>
      <c r="Q1089" s="87">
        <f t="shared" si="572"/>
        <v>-0.7569275644141954</v>
      </c>
      <c r="R1089" s="203" t="s">
        <v>1363</v>
      </c>
    </row>
    <row r="1090" spans="1:26" ht="14.1" customHeight="1" x14ac:dyDescent="0.2">
      <c r="A1090" s="89"/>
      <c r="B1090" s="90">
        <v>5516</v>
      </c>
      <c r="C1090" s="72" t="s">
        <v>989</v>
      </c>
      <c r="D1090" s="102"/>
      <c r="E1090" s="71"/>
      <c r="F1090" s="74"/>
      <c r="G1090" s="74"/>
      <c r="H1090" s="74"/>
      <c r="I1090" s="71"/>
      <c r="J1090" s="73"/>
      <c r="K1090" s="74"/>
      <c r="L1090" s="74"/>
      <c r="M1090" s="74"/>
      <c r="N1090" s="74"/>
      <c r="O1090" s="74"/>
      <c r="P1090" s="67">
        <v>1000</v>
      </c>
      <c r="Q1090" s="87">
        <v>1</v>
      </c>
      <c r="R1090" s="203"/>
    </row>
    <row r="1091" spans="1:26" ht="14.1" customHeight="1" x14ac:dyDescent="0.2">
      <c r="A1091" s="89"/>
      <c r="B1091" s="90">
        <v>5521</v>
      </c>
      <c r="C1091" s="72" t="s">
        <v>343</v>
      </c>
      <c r="D1091" s="102">
        <v>26000</v>
      </c>
      <c r="E1091" s="71">
        <v>-5420</v>
      </c>
      <c r="F1091" s="74">
        <f t="shared" si="576"/>
        <v>20580</v>
      </c>
      <c r="G1091" s="74">
        <v>3000</v>
      </c>
      <c r="H1091" s="74">
        <f t="shared" si="582"/>
        <v>23580</v>
      </c>
      <c r="I1091" s="71">
        <v>21533</v>
      </c>
      <c r="J1091" s="73">
        <v>28000</v>
      </c>
      <c r="K1091" s="74"/>
      <c r="L1091" s="74">
        <v>28000</v>
      </c>
      <c r="M1091" s="74"/>
      <c r="N1091" s="74">
        <f t="shared" si="589"/>
        <v>28000</v>
      </c>
      <c r="O1091" s="74">
        <v>17342</v>
      </c>
      <c r="P1091" s="67">
        <v>30000</v>
      </c>
      <c r="Q1091" s="87">
        <f t="shared" si="572"/>
        <v>7.1428571428571425E-2</v>
      </c>
      <c r="R1091" s="203"/>
    </row>
    <row r="1092" spans="1:26" ht="14.1" customHeight="1" x14ac:dyDescent="0.2">
      <c r="A1092" s="89"/>
      <c r="B1092" s="90">
        <v>5522</v>
      </c>
      <c r="C1092" s="72" t="s">
        <v>137</v>
      </c>
      <c r="D1092" s="102">
        <v>700</v>
      </c>
      <c r="E1092" s="71"/>
      <c r="F1092" s="74">
        <f t="shared" si="576"/>
        <v>700</v>
      </c>
      <c r="G1092" s="74"/>
      <c r="H1092" s="74">
        <f t="shared" si="582"/>
        <v>700</v>
      </c>
      <c r="I1092" s="71">
        <v>441</v>
      </c>
      <c r="J1092" s="73">
        <v>500</v>
      </c>
      <c r="K1092" s="74"/>
      <c r="L1092" s="74">
        <v>500</v>
      </c>
      <c r="M1092" s="74"/>
      <c r="N1092" s="74">
        <f t="shared" si="589"/>
        <v>500</v>
      </c>
      <c r="O1092" s="74">
        <v>143</v>
      </c>
      <c r="P1092" s="67">
        <v>500</v>
      </c>
      <c r="Q1092" s="87">
        <f t="shared" si="572"/>
        <v>0</v>
      </c>
      <c r="R1092" s="203"/>
    </row>
    <row r="1093" spans="1:26" ht="14.1" customHeight="1" x14ac:dyDescent="0.2">
      <c r="A1093" s="89"/>
      <c r="B1093" s="90">
        <v>5524</v>
      </c>
      <c r="C1093" s="72" t="s">
        <v>345</v>
      </c>
      <c r="D1093" s="102">
        <v>11500</v>
      </c>
      <c r="E1093" s="71">
        <v>-1840</v>
      </c>
      <c r="F1093" s="74">
        <f t="shared" si="576"/>
        <v>9660</v>
      </c>
      <c r="G1093" s="74"/>
      <c r="H1093" s="74">
        <f t="shared" si="582"/>
        <v>9660</v>
      </c>
      <c r="I1093" s="71">
        <v>4899</v>
      </c>
      <c r="J1093" s="73">
        <v>9000</v>
      </c>
      <c r="K1093" s="74"/>
      <c r="L1093" s="74">
        <v>9000</v>
      </c>
      <c r="M1093" s="74"/>
      <c r="N1093" s="74">
        <f t="shared" si="589"/>
        <v>9000</v>
      </c>
      <c r="O1093" s="74">
        <v>7037</v>
      </c>
      <c r="P1093" s="67">
        <v>9000</v>
      </c>
      <c r="Q1093" s="87">
        <f t="shared" si="572"/>
        <v>0</v>
      </c>
      <c r="R1093" s="204" t="s">
        <v>1361</v>
      </c>
    </row>
    <row r="1094" spans="1:26" ht="14.1" customHeight="1" x14ac:dyDescent="0.2">
      <c r="A1094" s="89"/>
      <c r="B1094" s="90">
        <v>5525</v>
      </c>
      <c r="C1094" s="72" t="s">
        <v>299</v>
      </c>
      <c r="D1094" s="102">
        <v>1300</v>
      </c>
      <c r="E1094" s="71">
        <v>-400</v>
      </c>
      <c r="F1094" s="74">
        <f t="shared" si="576"/>
        <v>900</v>
      </c>
      <c r="G1094" s="74"/>
      <c r="H1094" s="74">
        <f t="shared" si="582"/>
        <v>900</v>
      </c>
      <c r="I1094" s="71">
        <v>553</v>
      </c>
      <c r="J1094" s="73">
        <v>1500</v>
      </c>
      <c r="K1094" s="74"/>
      <c r="L1094" s="74">
        <v>1500</v>
      </c>
      <c r="M1094" s="74"/>
      <c r="N1094" s="74">
        <f t="shared" si="589"/>
        <v>1500</v>
      </c>
      <c r="O1094" s="74">
        <v>1143</v>
      </c>
      <c r="P1094" s="67">
        <v>1500</v>
      </c>
      <c r="Q1094" s="87">
        <f t="shared" si="572"/>
        <v>0</v>
      </c>
      <c r="R1094" s="203"/>
    </row>
    <row r="1095" spans="1:26" ht="14.1" customHeight="1" x14ac:dyDescent="0.2">
      <c r="A1095" s="89"/>
      <c r="B1095" s="90">
        <v>5540</v>
      </c>
      <c r="C1095" s="72" t="s">
        <v>364</v>
      </c>
      <c r="D1095" s="102">
        <v>1500</v>
      </c>
      <c r="E1095" s="71">
        <v>-180</v>
      </c>
      <c r="F1095" s="74">
        <f t="shared" si="576"/>
        <v>1320</v>
      </c>
      <c r="G1095" s="74"/>
      <c r="H1095" s="74">
        <f t="shared" si="582"/>
        <v>1320</v>
      </c>
      <c r="I1095" s="71">
        <v>269</v>
      </c>
      <c r="J1095" s="73">
        <v>1100</v>
      </c>
      <c r="K1095" s="74"/>
      <c r="L1095" s="74">
        <v>1100</v>
      </c>
      <c r="M1095" s="74"/>
      <c r="N1095" s="74">
        <f t="shared" si="589"/>
        <v>1100</v>
      </c>
      <c r="O1095" s="74">
        <v>669</v>
      </c>
      <c r="P1095" s="67">
        <v>1500</v>
      </c>
      <c r="Q1095" s="87">
        <f t="shared" si="572"/>
        <v>0.36363636363636365</v>
      </c>
      <c r="R1095" s="203" t="s">
        <v>990</v>
      </c>
      <c r="Z1095" s="53"/>
    </row>
    <row r="1096" spans="1:26" ht="14.1" customHeight="1" x14ac:dyDescent="0.2">
      <c r="A1096" s="164" t="s">
        <v>694</v>
      </c>
      <c r="B1096" s="161"/>
      <c r="C1096" s="148" t="s">
        <v>695</v>
      </c>
      <c r="D1096" s="233"/>
      <c r="E1096" s="151">
        <f>+E1097+E1098</f>
        <v>53001</v>
      </c>
      <c r="F1096" s="137">
        <f>+E1096</f>
        <v>53001</v>
      </c>
      <c r="G1096" s="137">
        <v>0</v>
      </c>
      <c r="H1096" s="137">
        <f>+H1097+H1098</f>
        <v>53001</v>
      </c>
      <c r="I1096" s="151">
        <f>+I1097+I1098</f>
        <v>72990</v>
      </c>
      <c r="J1096" s="152">
        <f>+J1097+J1098</f>
        <v>245809</v>
      </c>
      <c r="K1096" s="152">
        <f t="shared" ref="K1096:L1096" si="590">+K1097+K1098</f>
        <v>-2000</v>
      </c>
      <c r="L1096" s="152">
        <f t="shared" si="590"/>
        <v>179909</v>
      </c>
      <c r="M1096" s="152">
        <f t="shared" ref="M1096:N1096" si="591">+M1097+M1098</f>
        <v>15000</v>
      </c>
      <c r="N1096" s="152">
        <f t="shared" si="591"/>
        <v>194909</v>
      </c>
      <c r="O1096" s="152">
        <f t="shared" ref="O1096:P1096" si="592">+O1097+O1098</f>
        <v>151187</v>
      </c>
      <c r="P1096" s="152">
        <f t="shared" si="592"/>
        <v>272200</v>
      </c>
      <c r="Q1096" s="87">
        <f t="shared" si="572"/>
        <v>0.39654915883822706</v>
      </c>
      <c r="R1096" s="204" t="s">
        <v>994</v>
      </c>
    </row>
    <row r="1097" spans="1:26" ht="14.1" customHeight="1" x14ac:dyDescent="0.2">
      <c r="A1097" s="89"/>
      <c r="B1097" s="95" t="s">
        <v>101</v>
      </c>
      <c r="C1097" s="96" t="s">
        <v>102</v>
      </c>
      <c r="D1097" s="102"/>
      <c r="E1097" s="71">
        <v>38556</v>
      </c>
      <c r="F1097" s="98">
        <f t="shared" ref="F1097:F1119" si="593">+E1097</f>
        <v>38556</v>
      </c>
      <c r="G1097" s="98"/>
      <c r="H1097" s="98">
        <v>38556</v>
      </c>
      <c r="I1097" s="71">
        <v>18984</v>
      </c>
      <c r="J1097" s="73">
        <v>138759</v>
      </c>
      <c r="K1097" s="74"/>
      <c r="L1097" s="140">
        <f>+K1097+J1097</f>
        <v>138759</v>
      </c>
      <c r="M1097" s="92">
        <v>15000</v>
      </c>
      <c r="N1097" s="140">
        <f t="shared" ref="N1097:N1119" si="594">+M1097+L1097</f>
        <v>153759</v>
      </c>
      <c r="O1097" s="140">
        <v>108444</v>
      </c>
      <c r="P1097" s="67">
        <v>219850</v>
      </c>
      <c r="Q1097" s="87">
        <f t="shared" si="572"/>
        <v>0.42983500152836585</v>
      </c>
      <c r="R1097" s="203" t="s">
        <v>962</v>
      </c>
      <c r="W1097" s="169" t="s">
        <v>741</v>
      </c>
    </row>
    <row r="1098" spans="1:26" ht="14.1" customHeight="1" x14ac:dyDescent="0.2">
      <c r="A1098" s="89"/>
      <c r="B1098" s="95" t="s">
        <v>103</v>
      </c>
      <c r="C1098" s="96" t="s">
        <v>104</v>
      </c>
      <c r="D1098" s="102"/>
      <c r="E1098" s="71">
        <f>SUM(E1099:E1119)</f>
        <v>14445</v>
      </c>
      <c r="F1098" s="98">
        <f t="shared" si="593"/>
        <v>14445</v>
      </c>
      <c r="G1098" s="98"/>
      <c r="H1098" s="98">
        <f>SUM(H1099:H1119)</f>
        <v>14445</v>
      </c>
      <c r="I1098" s="71">
        <f>SUM(I1099:I1119)</f>
        <v>54006</v>
      </c>
      <c r="J1098" s="73">
        <f>SUM(J1099:J1119)</f>
        <v>107050</v>
      </c>
      <c r="K1098" s="73">
        <f>SUM(K1099:K1119)</f>
        <v>-2000</v>
      </c>
      <c r="L1098" s="141">
        <f>+L1099+L1100+L1101+L1111+L1112+L1113+L1115+L1116+L1117+L1118+L1119</f>
        <v>41150</v>
      </c>
      <c r="M1098" s="141">
        <f t="shared" ref="M1098:N1098" si="595">+M1099+M1100+M1101+M1111+M1112+M1113+M1115+M1116+M1117+M1118+M1119</f>
        <v>0</v>
      </c>
      <c r="N1098" s="141">
        <f t="shared" si="595"/>
        <v>41150</v>
      </c>
      <c r="O1098" s="141">
        <f t="shared" ref="O1098" si="596">+O1099+O1100+O1101+O1111+O1112+O1113+O1115+O1116+O1117+O1118+O1119</f>
        <v>42743</v>
      </c>
      <c r="P1098" s="141">
        <f>+P1099+P1100+P1101+P1111+P1112+P1113+P1115+P1116+P1117+P1118+P1119+P1114</f>
        <v>52350</v>
      </c>
      <c r="Q1098" s="87">
        <f t="shared" si="572"/>
        <v>0.27217496962332927</v>
      </c>
      <c r="R1098" s="203"/>
    </row>
    <row r="1099" spans="1:26" ht="14.1" customHeight="1" x14ac:dyDescent="0.2">
      <c r="A1099" s="89"/>
      <c r="B1099" s="90">
        <v>5500</v>
      </c>
      <c r="C1099" s="72" t="s">
        <v>180</v>
      </c>
      <c r="D1099" s="102"/>
      <c r="E1099" s="71">
        <v>240</v>
      </c>
      <c r="F1099" s="74">
        <f t="shared" si="593"/>
        <v>240</v>
      </c>
      <c r="G1099" s="74"/>
      <c r="H1099" s="74">
        <v>240</v>
      </c>
      <c r="I1099" s="71">
        <v>22</v>
      </c>
      <c r="J1099" s="73">
        <v>1450</v>
      </c>
      <c r="K1099" s="74"/>
      <c r="L1099" s="74">
        <f t="shared" ref="L1099:L1119" si="597">+K1099+J1099</f>
        <v>1450</v>
      </c>
      <c r="M1099" s="74"/>
      <c r="N1099" s="74">
        <f t="shared" si="594"/>
        <v>1450</v>
      </c>
      <c r="O1099" s="74">
        <v>1054</v>
      </c>
      <c r="P1099" s="67">
        <v>1100</v>
      </c>
      <c r="Q1099" s="87">
        <f t="shared" si="572"/>
        <v>-0.2413793103448276</v>
      </c>
      <c r="R1099" s="203"/>
    </row>
    <row r="1100" spans="1:26" ht="14.1" customHeight="1" x14ac:dyDescent="0.2">
      <c r="A1100" s="89"/>
      <c r="B1100" s="90">
        <v>5504</v>
      </c>
      <c r="C1100" s="72" t="s">
        <v>118</v>
      </c>
      <c r="D1100" s="102"/>
      <c r="E1100" s="71">
        <v>385</v>
      </c>
      <c r="F1100" s="74">
        <f t="shared" si="593"/>
        <v>385</v>
      </c>
      <c r="G1100" s="74"/>
      <c r="H1100" s="74">
        <v>385</v>
      </c>
      <c r="I1100" s="71"/>
      <c r="J1100" s="73">
        <v>600</v>
      </c>
      <c r="K1100" s="74"/>
      <c r="L1100" s="74">
        <f t="shared" si="597"/>
        <v>600</v>
      </c>
      <c r="M1100" s="74"/>
      <c r="N1100" s="74">
        <f t="shared" si="594"/>
        <v>600</v>
      </c>
      <c r="O1100" s="74">
        <v>307</v>
      </c>
      <c r="P1100" s="67">
        <v>1000</v>
      </c>
      <c r="Q1100" s="87">
        <f t="shared" si="572"/>
        <v>0.66666666666666663</v>
      </c>
      <c r="R1100" s="203"/>
    </row>
    <row r="1101" spans="1:26" ht="14.1" customHeight="1" x14ac:dyDescent="0.2">
      <c r="A1101" s="89"/>
      <c r="B1101" s="90">
        <v>5511</v>
      </c>
      <c r="C1101" s="72" t="s">
        <v>362</v>
      </c>
      <c r="D1101" s="102"/>
      <c r="E1101" s="71">
        <v>4860</v>
      </c>
      <c r="F1101" s="74">
        <f t="shared" si="593"/>
        <v>4860</v>
      </c>
      <c r="G1101" s="74"/>
      <c r="H1101" s="74">
        <v>4860</v>
      </c>
      <c r="I1101" s="71">
        <v>1052</v>
      </c>
      <c r="J1101" s="73">
        <v>16900</v>
      </c>
      <c r="K1101" s="74"/>
      <c r="L1101" s="74">
        <f>SUM(L1102:L1110)</f>
        <v>16900</v>
      </c>
      <c r="M1101" s="74">
        <f t="shared" ref="M1101:O1101" si="598">SUM(M1102:M1110)</f>
        <v>0</v>
      </c>
      <c r="N1101" s="74">
        <f t="shared" si="598"/>
        <v>16900</v>
      </c>
      <c r="O1101" s="74">
        <f t="shared" si="598"/>
        <v>9138</v>
      </c>
      <c r="P1101" s="67">
        <f t="shared" ref="P1101" si="599">SUM(P1102:P1110)</f>
        <v>15400</v>
      </c>
      <c r="Q1101" s="87">
        <f t="shared" si="572"/>
        <v>-8.8757396449704137E-2</v>
      </c>
      <c r="R1101" s="204" t="s">
        <v>991</v>
      </c>
    </row>
    <row r="1102" spans="1:26" ht="14.1" customHeight="1" x14ac:dyDescent="0.2">
      <c r="A1102" s="89"/>
      <c r="B1102" s="90"/>
      <c r="C1102" s="154" t="s">
        <v>223</v>
      </c>
      <c r="D1102" s="102"/>
      <c r="E1102" s="71"/>
      <c r="F1102" s="153">
        <f t="shared" ref="F1102:F1110" si="600">+E1102+D1102</f>
        <v>0</v>
      </c>
      <c r="G1102" s="153"/>
      <c r="H1102" s="153">
        <f t="shared" ref="H1102:H1110" si="601">+G1102+F1102</f>
        <v>0</v>
      </c>
      <c r="I1102" s="158">
        <v>33630</v>
      </c>
      <c r="J1102" s="159">
        <v>48000</v>
      </c>
      <c r="K1102" s="153"/>
      <c r="L1102" s="153">
        <v>16900</v>
      </c>
      <c r="M1102" s="153"/>
      <c r="N1102" s="153">
        <f t="shared" si="594"/>
        <v>16900</v>
      </c>
      <c r="O1102" s="153"/>
      <c r="P1102" s="155">
        <v>0</v>
      </c>
      <c r="Q1102" s="87">
        <f t="shared" si="572"/>
        <v>-1</v>
      </c>
      <c r="R1102" s="204"/>
    </row>
    <row r="1103" spans="1:26" ht="14.1" customHeight="1" x14ac:dyDescent="0.2">
      <c r="A1103" s="89"/>
      <c r="B1103" s="90"/>
      <c r="C1103" s="154" t="s">
        <v>224</v>
      </c>
      <c r="D1103" s="102">
        <v>0</v>
      </c>
      <c r="E1103" s="71"/>
      <c r="F1103" s="153">
        <f t="shared" si="600"/>
        <v>0</v>
      </c>
      <c r="G1103" s="153"/>
      <c r="H1103" s="153">
        <f t="shared" si="601"/>
        <v>0</v>
      </c>
      <c r="I1103" s="158">
        <v>7732</v>
      </c>
      <c r="J1103" s="159">
        <v>6600</v>
      </c>
      <c r="K1103" s="153"/>
      <c r="L1103" s="153"/>
      <c r="M1103" s="153"/>
      <c r="N1103" s="153">
        <f t="shared" si="594"/>
        <v>0</v>
      </c>
      <c r="O1103" s="153">
        <v>4988</v>
      </c>
      <c r="P1103" s="155">
        <v>8000</v>
      </c>
      <c r="Q1103" s="87"/>
      <c r="R1103" s="204"/>
    </row>
    <row r="1104" spans="1:26" ht="14.1" customHeight="1" x14ac:dyDescent="0.2">
      <c r="A1104" s="89"/>
      <c r="B1104" s="90"/>
      <c r="C1104" s="154" t="s">
        <v>225</v>
      </c>
      <c r="D1104" s="102">
        <v>0</v>
      </c>
      <c r="E1104" s="71"/>
      <c r="F1104" s="153">
        <f t="shared" si="600"/>
        <v>0</v>
      </c>
      <c r="G1104" s="153"/>
      <c r="H1104" s="153">
        <f t="shared" si="601"/>
        <v>0</v>
      </c>
      <c r="I1104" s="158">
        <v>2177</v>
      </c>
      <c r="J1104" s="159">
        <v>2600</v>
      </c>
      <c r="K1104" s="153"/>
      <c r="L1104" s="153"/>
      <c r="M1104" s="153"/>
      <c r="N1104" s="153">
        <f t="shared" si="594"/>
        <v>0</v>
      </c>
      <c r="O1104" s="153">
        <v>617</v>
      </c>
      <c r="P1104" s="155">
        <v>1200</v>
      </c>
      <c r="Q1104" s="87"/>
      <c r="R1104" s="204"/>
      <c r="Z1104" s="49"/>
    </row>
    <row r="1105" spans="1:26" ht="14.1" customHeight="1" x14ac:dyDescent="0.2">
      <c r="A1105" s="89"/>
      <c r="B1105" s="90"/>
      <c r="C1105" s="154" t="s">
        <v>226</v>
      </c>
      <c r="D1105" s="102">
        <v>0</v>
      </c>
      <c r="E1105" s="71"/>
      <c r="F1105" s="153">
        <f t="shared" si="600"/>
        <v>0</v>
      </c>
      <c r="G1105" s="153"/>
      <c r="H1105" s="153">
        <f t="shared" si="601"/>
        <v>0</v>
      </c>
      <c r="I1105" s="158">
        <v>2276</v>
      </c>
      <c r="J1105" s="159">
        <v>2200</v>
      </c>
      <c r="K1105" s="153"/>
      <c r="L1105" s="153"/>
      <c r="M1105" s="153"/>
      <c r="N1105" s="153">
        <f t="shared" si="594"/>
        <v>0</v>
      </c>
      <c r="O1105" s="153">
        <v>2253</v>
      </c>
      <c r="P1105" s="155">
        <v>1000</v>
      </c>
      <c r="Q1105" s="87"/>
      <c r="R1105" s="204"/>
      <c r="Z1105" s="49"/>
    </row>
    <row r="1106" spans="1:26" ht="14.1" customHeight="1" x14ac:dyDescent="0.2">
      <c r="A1106" s="89"/>
      <c r="B1106" s="90"/>
      <c r="C1106" s="154" t="s">
        <v>346</v>
      </c>
      <c r="D1106" s="102">
        <v>0</v>
      </c>
      <c r="E1106" s="71"/>
      <c r="F1106" s="153">
        <f t="shared" si="600"/>
        <v>0</v>
      </c>
      <c r="G1106" s="153"/>
      <c r="H1106" s="153">
        <f t="shared" si="601"/>
        <v>0</v>
      </c>
      <c r="I1106" s="158">
        <v>3367</v>
      </c>
      <c r="J1106" s="159">
        <v>4100</v>
      </c>
      <c r="K1106" s="153"/>
      <c r="L1106" s="153"/>
      <c r="M1106" s="153"/>
      <c r="N1106" s="153">
        <f t="shared" si="594"/>
        <v>0</v>
      </c>
      <c r="O1106" s="153">
        <v>780</v>
      </c>
      <c r="P1106" s="155">
        <v>2500</v>
      </c>
      <c r="Q1106" s="87"/>
      <c r="R1106" s="204"/>
      <c r="Z1106" s="49"/>
    </row>
    <row r="1107" spans="1:26" ht="14.1" customHeight="1" x14ac:dyDescent="0.2">
      <c r="A1107" s="89"/>
      <c r="B1107" s="90"/>
      <c r="C1107" s="154" t="s">
        <v>230</v>
      </c>
      <c r="D1107" s="102">
        <v>0</v>
      </c>
      <c r="E1107" s="71"/>
      <c r="F1107" s="153">
        <f t="shared" si="600"/>
        <v>0</v>
      </c>
      <c r="G1107" s="153"/>
      <c r="H1107" s="153">
        <f t="shared" si="601"/>
        <v>0</v>
      </c>
      <c r="I1107" s="158"/>
      <c r="J1107" s="159"/>
      <c r="K1107" s="153"/>
      <c r="L1107" s="153"/>
      <c r="M1107" s="153"/>
      <c r="N1107" s="153">
        <f t="shared" si="594"/>
        <v>0</v>
      </c>
      <c r="O1107" s="153"/>
      <c r="P1107" s="155">
        <v>300</v>
      </c>
      <c r="Q1107" s="87"/>
      <c r="R1107" s="204"/>
      <c r="Z1107" s="49"/>
    </row>
    <row r="1108" spans="1:26" ht="14.1" customHeight="1" x14ac:dyDescent="0.2">
      <c r="A1108" s="89"/>
      <c r="B1108" s="90"/>
      <c r="C1108" s="154" t="s">
        <v>347</v>
      </c>
      <c r="D1108" s="102">
        <v>0</v>
      </c>
      <c r="E1108" s="71"/>
      <c r="F1108" s="153">
        <f t="shared" si="600"/>
        <v>0</v>
      </c>
      <c r="G1108" s="153"/>
      <c r="H1108" s="153">
        <f t="shared" si="601"/>
        <v>0</v>
      </c>
      <c r="I1108" s="158">
        <v>394</v>
      </c>
      <c r="J1108" s="159">
        <v>400</v>
      </c>
      <c r="K1108" s="153"/>
      <c r="L1108" s="153"/>
      <c r="M1108" s="153"/>
      <c r="N1108" s="153">
        <f t="shared" si="594"/>
        <v>0</v>
      </c>
      <c r="O1108" s="153">
        <v>163</v>
      </c>
      <c r="P1108" s="155">
        <v>400</v>
      </c>
      <c r="Q1108" s="87"/>
      <c r="R1108" s="204"/>
    </row>
    <row r="1109" spans="1:26" ht="14.1" customHeight="1" x14ac:dyDescent="0.2">
      <c r="A1109" s="89"/>
      <c r="B1109" s="90"/>
      <c r="C1109" s="154" t="s">
        <v>363</v>
      </c>
      <c r="D1109" s="102">
        <v>0</v>
      </c>
      <c r="E1109" s="71"/>
      <c r="F1109" s="153">
        <f t="shared" si="600"/>
        <v>0</v>
      </c>
      <c r="G1109" s="153"/>
      <c r="H1109" s="153">
        <f t="shared" si="601"/>
        <v>0</v>
      </c>
      <c r="I1109" s="158"/>
      <c r="J1109" s="159"/>
      <c r="K1109" s="153"/>
      <c r="L1109" s="153"/>
      <c r="M1109" s="153"/>
      <c r="N1109" s="153">
        <f t="shared" si="594"/>
        <v>0</v>
      </c>
      <c r="O1109" s="153">
        <v>337</v>
      </c>
      <c r="P1109" s="155">
        <v>500</v>
      </c>
      <c r="Q1109" s="87"/>
      <c r="R1109" s="204"/>
    </row>
    <row r="1110" spans="1:26" ht="14.1" customHeight="1" x14ac:dyDescent="0.2">
      <c r="A1110" s="89"/>
      <c r="B1110" s="90"/>
      <c r="C1110" s="154" t="s">
        <v>354</v>
      </c>
      <c r="D1110" s="102">
        <v>0</v>
      </c>
      <c r="E1110" s="71"/>
      <c r="F1110" s="153">
        <f t="shared" si="600"/>
        <v>0</v>
      </c>
      <c r="G1110" s="153"/>
      <c r="H1110" s="153">
        <f t="shared" si="601"/>
        <v>0</v>
      </c>
      <c r="I1110" s="158">
        <v>252</v>
      </c>
      <c r="J1110" s="159"/>
      <c r="K1110" s="153"/>
      <c r="L1110" s="153"/>
      <c r="M1110" s="153"/>
      <c r="N1110" s="153">
        <f t="shared" si="594"/>
        <v>0</v>
      </c>
      <c r="O1110" s="153"/>
      <c r="P1110" s="155">
        <v>1500</v>
      </c>
      <c r="Q1110" s="87"/>
      <c r="R1110" s="203" t="s">
        <v>992</v>
      </c>
      <c r="Z1110" s="49"/>
    </row>
    <row r="1111" spans="1:26" ht="14.1" customHeight="1" x14ac:dyDescent="0.2">
      <c r="A1111" s="89"/>
      <c r="B1111" s="90">
        <v>5513</v>
      </c>
      <c r="C1111" s="72" t="s">
        <v>243</v>
      </c>
      <c r="D1111" s="102"/>
      <c r="E1111" s="71">
        <v>120</v>
      </c>
      <c r="F1111" s="74">
        <f t="shared" si="593"/>
        <v>120</v>
      </c>
      <c r="G1111" s="74"/>
      <c r="H1111" s="74">
        <v>120</v>
      </c>
      <c r="I1111" s="71">
        <v>88</v>
      </c>
      <c r="J1111" s="73">
        <v>300</v>
      </c>
      <c r="K1111" s="74"/>
      <c r="L1111" s="74">
        <f t="shared" si="597"/>
        <v>300</v>
      </c>
      <c r="M1111" s="74"/>
      <c r="N1111" s="74">
        <f t="shared" si="594"/>
        <v>300</v>
      </c>
      <c r="O1111" s="74">
        <v>163</v>
      </c>
      <c r="P1111" s="67">
        <v>250</v>
      </c>
      <c r="Q1111" s="87">
        <f t="shared" ref="Q1111:Q1177" si="602">(P1111-N1111)/N1111</f>
        <v>-0.16666666666666666</v>
      </c>
      <c r="R1111" s="203"/>
    </row>
    <row r="1112" spans="1:26" ht="14.1" customHeight="1" x14ac:dyDescent="0.2">
      <c r="A1112" s="89"/>
      <c r="B1112" s="90">
        <v>5514</v>
      </c>
      <c r="C1112" s="72" t="s">
        <v>297</v>
      </c>
      <c r="D1112" s="102"/>
      <c r="E1112" s="71">
        <v>250</v>
      </c>
      <c r="F1112" s="74">
        <f t="shared" si="593"/>
        <v>250</v>
      </c>
      <c r="G1112" s="74"/>
      <c r="H1112" s="74">
        <v>250</v>
      </c>
      <c r="I1112" s="71">
        <v>295</v>
      </c>
      <c r="J1112" s="73">
        <v>3000</v>
      </c>
      <c r="K1112" s="74"/>
      <c r="L1112" s="74">
        <f t="shared" si="597"/>
        <v>3000</v>
      </c>
      <c r="M1112" s="74"/>
      <c r="N1112" s="74">
        <f t="shared" si="594"/>
        <v>3000</v>
      </c>
      <c r="O1112" s="74">
        <v>6977</v>
      </c>
      <c r="P1112" s="67">
        <v>2000</v>
      </c>
      <c r="Q1112" s="87">
        <f t="shared" si="602"/>
        <v>-0.33333333333333331</v>
      </c>
      <c r="R1112" s="203" t="s">
        <v>993</v>
      </c>
    </row>
    <row r="1113" spans="1:26" ht="14.1" customHeight="1" x14ac:dyDescent="0.2">
      <c r="A1113" s="89"/>
      <c r="B1113" s="90">
        <v>5515</v>
      </c>
      <c r="C1113" s="72" t="s">
        <v>298</v>
      </c>
      <c r="D1113" s="102"/>
      <c r="E1113" s="71">
        <v>750</v>
      </c>
      <c r="F1113" s="74">
        <f t="shared" si="593"/>
        <v>750</v>
      </c>
      <c r="G1113" s="74"/>
      <c r="H1113" s="74">
        <v>750</v>
      </c>
      <c r="I1113" s="71">
        <v>187</v>
      </c>
      <c r="J1113" s="73">
        <v>2000</v>
      </c>
      <c r="K1113" s="74"/>
      <c r="L1113" s="74">
        <f t="shared" si="597"/>
        <v>2000</v>
      </c>
      <c r="M1113" s="74"/>
      <c r="N1113" s="74">
        <f t="shared" si="594"/>
        <v>2000</v>
      </c>
      <c r="O1113" s="74">
        <v>7310</v>
      </c>
      <c r="P1113" s="67">
        <v>2000</v>
      </c>
      <c r="Q1113" s="87">
        <f t="shared" si="602"/>
        <v>0</v>
      </c>
      <c r="R1113" s="203" t="s">
        <v>1607</v>
      </c>
    </row>
    <row r="1114" spans="1:26" ht="14.1" customHeight="1" x14ac:dyDescent="0.2">
      <c r="A1114" s="89"/>
      <c r="B1114" s="90">
        <v>5516</v>
      </c>
      <c r="C1114" s="72" t="s">
        <v>989</v>
      </c>
      <c r="D1114" s="102"/>
      <c r="E1114" s="71"/>
      <c r="F1114" s="74"/>
      <c r="G1114" s="74"/>
      <c r="H1114" s="74"/>
      <c r="I1114" s="71"/>
      <c r="J1114" s="73"/>
      <c r="K1114" s="74"/>
      <c r="L1114" s="74"/>
      <c r="M1114" s="74"/>
      <c r="N1114" s="74"/>
      <c r="O1114" s="74"/>
      <c r="P1114" s="67">
        <v>2000</v>
      </c>
      <c r="Q1114" s="87">
        <v>1</v>
      </c>
      <c r="R1114" s="203"/>
    </row>
    <row r="1115" spans="1:26" ht="14.1" customHeight="1" x14ac:dyDescent="0.2">
      <c r="A1115" s="89"/>
      <c r="B1115" s="90">
        <v>5521</v>
      </c>
      <c r="C1115" s="72" t="s">
        <v>343</v>
      </c>
      <c r="D1115" s="102"/>
      <c r="E1115" s="71">
        <v>5420</v>
      </c>
      <c r="F1115" s="74">
        <f t="shared" si="593"/>
        <v>5420</v>
      </c>
      <c r="G1115" s="74"/>
      <c r="H1115" s="74">
        <v>5420</v>
      </c>
      <c r="I1115" s="71">
        <v>1923</v>
      </c>
      <c r="J1115" s="73">
        <v>11500</v>
      </c>
      <c r="K1115" s="74"/>
      <c r="L1115" s="74">
        <f t="shared" si="597"/>
        <v>11500</v>
      </c>
      <c r="M1115" s="74"/>
      <c r="N1115" s="74">
        <f t="shared" si="594"/>
        <v>11500</v>
      </c>
      <c r="O1115" s="74">
        <v>13096</v>
      </c>
      <c r="P1115" s="67">
        <v>21800</v>
      </c>
      <c r="Q1115" s="87">
        <f t="shared" si="602"/>
        <v>0.89565217391304353</v>
      </c>
      <c r="R1115" s="206"/>
    </row>
    <row r="1116" spans="1:26" ht="14.1" customHeight="1" x14ac:dyDescent="0.2">
      <c r="A1116" s="89"/>
      <c r="B1116" s="90">
        <v>5522</v>
      </c>
      <c r="C1116" s="72" t="s">
        <v>137</v>
      </c>
      <c r="D1116" s="102"/>
      <c r="E1116" s="71"/>
      <c r="F1116" s="74"/>
      <c r="G1116" s="74"/>
      <c r="H1116" s="74"/>
      <c r="I1116" s="71">
        <v>72</v>
      </c>
      <c r="J1116" s="73">
        <v>400</v>
      </c>
      <c r="K1116" s="74"/>
      <c r="L1116" s="74">
        <f t="shared" si="597"/>
        <v>400</v>
      </c>
      <c r="M1116" s="74"/>
      <c r="N1116" s="74">
        <f t="shared" si="594"/>
        <v>400</v>
      </c>
      <c r="O1116" s="74">
        <v>155</v>
      </c>
      <c r="P1116" s="67">
        <v>900</v>
      </c>
      <c r="Q1116" s="87">
        <f t="shared" si="602"/>
        <v>1.25</v>
      </c>
      <c r="R1116" s="204"/>
    </row>
    <row r="1117" spans="1:26" ht="14.1" customHeight="1" x14ac:dyDescent="0.2">
      <c r="A1117" s="89"/>
      <c r="B1117" s="90">
        <v>5524</v>
      </c>
      <c r="C1117" s="72" t="s">
        <v>345</v>
      </c>
      <c r="D1117" s="102"/>
      <c r="E1117" s="71">
        <v>1840</v>
      </c>
      <c r="F1117" s="74">
        <f t="shared" si="593"/>
        <v>1840</v>
      </c>
      <c r="G1117" s="74"/>
      <c r="H1117" s="74">
        <v>1840</v>
      </c>
      <c r="I1117" s="71">
        <v>524</v>
      </c>
      <c r="J1117" s="73">
        <v>5500</v>
      </c>
      <c r="K1117" s="74">
        <v>-2000</v>
      </c>
      <c r="L1117" s="74">
        <f t="shared" si="597"/>
        <v>3500</v>
      </c>
      <c r="M1117" s="74"/>
      <c r="N1117" s="74">
        <f t="shared" si="594"/>
        <v>3500</v>
      </c>
      <c r="O1117" s="74">
        <v>2997</v>
      </c>
      <c r="P1117" s="67">
        <v>4300</v>
      </c>
      <c r="Q1117" s="87">
        <f t="shared" si="602"/>
        <v>0.22857142857142856</v>
      </c>
      <c r="R1117" s="204" t="s">
        <v>1359</v>
      </c>
      <c r="V1117" s="213"/>
    </row>
    <row r="1118" spans="1:26" ht="14.1" customHeight="1" x14ac:dyDescent="0.2">
      <c r="A1118" s="89"/>
      <c r="B1118" s="90">
        <v>5525</v>
      </c>
      <c r="C1118" s="72" t="s">
        <v>299</v>
      </c>
      <c r="D1118" s="102"/>
      <c r="E1118" s="71">
        <v>400</v>
      </c>
      <c r="F1118" s="74">
        <f t="shared" si="593"/>
        <v>400</v>
      </c>
      <c r="G1118" s="74"/>
      <c r="H1118" s="74">
        <v>400</v>
      </c>
      <c r="I1118" s="71">
        <v>15</v>
      </c>
      <c r="J1118" s="73">
        <v>1000</v>
      </c>
      <c r="K1118" s="74"/>
      <c r="L1118" s="74">
        <f t="shared" si="597"/>
        <v>1000</v>
      </c>
      <c r="M1118" s="74"/>
      <c r="N1118" s="74">
        <f t="shared" si="594"/>
        <v>1000</v>
      </c>
      <c r="O1118" s="74">
        <v>1131</v>
      </c>
      <c r="P1118" s="67">
        <v>1000</v>
      </c>
      <c r="Q1118" s="87">
        <f t="shared" si="602"/>
        <v>0</v>
      </c>
      <c r="R1118" s="204"/>
      <c r="V1118" s="213"/>
    </row>
    <row r="1119" spans="1:26" ht="14.1" customHeight="1" x14ac:dyDescent="0.2">
      <c r="A1119" s="89"/>
      <c r="B1119" s="90">
        <v>5540</v>
      </c>
      <c r="C1119" s="72" t="s">
        <v>364</v>
      </c>
      <c r="D1119" s="102"/>
      <c r="E1119" s="71">
        <v>180</v>
      </c>
      <c r="F1119" s="74">
        <f t="shared" si="593"/>
        <v>180</v>
      </c>
      <c r="G1119" s="74"/>
      <c r="H1119" s="74">
        <v>180</v>
      </c>
      <c r="I1119" s="71"/>
      <c r="J1119" s="73">
        <v>500</v>
      </c>
      <c r="K1119" s="74"/>
      <c r="L1119" s="74">
        <f t="shared" si="597"/>
        <v>500</v>
      </c>
      <c r="M1119" s="74"/>
      <c r="N1119" s="74">
        <f t="shared" si="594"/>
        <v>500</v>
      </c>
      <c r="O1119" s="74">
        <v>415</v>
      </c>
      <c r="P1119" s="67">
        <v>600</v>
      </c>
      <c r="Q1119" s="87">
        <f t="shared" si="602"/>
        <v>0.2</v>
      </c>
      <c r="R1119" s="206"/>
      <c r="V1119" s="213"/>
    </row>
    <row r="1120" spans="1:26" ht="14.1" customHeight="1" x14ac:dyDescent="0.2">
      <c r="A1120" s="146" t="s">
        <v>696</v>
      </c>
      <c r="B1120" s="147"/>
      <c r="C1120" s="148" t="s">
        <v>366</v>
      </c>
      <c r="D1120" s="149">
        <v>792132</v>
      </c>
      <c r="E1120" s="151">
        <f>+E1121+E1122</f>
        <v>46324</v>
      </c>
      <c r="F1120" s="137">
        <f t="shared" ref="F1120:F1151" si="603">+E1120+D1120</f>
        <v>838456</v>
      </c>
      <c r="G1120" s="137">
        <f>+G1121+G1122</f>
        <v>28052</v>
      </c>
      <c r="H1120" s="137">
        <f>+H1121+H1122</f>
        <v>866508</v>
      </c>
      <c r="I1120" s="151">
        <f>+I1121+I1122</f>
        <v>654125</v>
      </c>
      <c r="J1120" s="152">
        <f>+J1121+J1122</f>
        <v>952745</v>
      </c>
      <c r="K1120" s="152">
        <f t="shared" ref="K1120:L1120" si="604">+K1121+K1122</f>
        <v>-89952</v>
      </c>
      <c r="L1120" s="152">
        <f t="shared" si="604"/>
        <v>862793</v>
      </c>
      <c r="M1120" s="152">
        <f t="shared" ref="M1120:N1120" si="605">+M1121+M1122</f>
        <v>34806</v>
      </c>
      <c r="N1120" s="152">
        <f t="shared" si="605"/>
        <v>897599</v>
      </c>
      <c r="O1120" s="152">
        <f t="shared" ref="O1120:P1120" si="606">+O1121+O1122</f>
        <v>668814</v>
      </c>
      <c r="P1120" s="152">
        <f t="shared" si="606"/>
        <v>1079123</v>
      </c>
      <c r="Q1120" s="87">
        <f t="shared" si="602"/>
        <v>0.20223284562482802</v>
      </c>
      <c r="R1120" s="203" t="s">
        <v>1515</v>
      </c>
      <c r="S1120" s="203"/>
      <c r="T1120" s="203"/>
      <c r="U1120" s="203"/>
      <c r="V1120" s="203"/>
      <c r="W1120" s="203"/>
      <c r="X1120" s="203"/>
    </row>
    <row r="1121" spans="1:26" s="53" customFormat="1" ht="14.1" customHeight="1" x14ac:dyDescent="0.2">
      <c r="A1121" s="94"/>
      <c r="B1121" s="95" t="s">
        <v>101</v>
      </c>
      <c r="C1121" s="96" t="s">
        <v>102</v>
      </c>
      <c r="D1121" s="43">
        <v>369337</v>
      </c>
      <c r="E1121" s="97">
        <v>0</v>
      </c>
      <c r="F1121" s="98">
        <f t="shared" si="603"/>
        <v>369337</v>
      </c>
      <c r="G1121" s="98"/>
      <c r="H1121" s="98">
        <f>+G1121+F1121</f>
        <v>369337</v>
      </c>
      <c r="I1121" s="97">
        <v>295658</v>
      </c>
      <c r="J1121" s="99">
        <v>436865</v>
      </c>
      <c r="K1121" s="98">
        <v>0</v>
      </c>
      <c r="L1121" s="182">
        <f>+K1121+J1121</f>
        <v>436865</v>
      </c>
      <c r="M1121" s="230">
        <f>31420+3036</f>
        <v>34456</v>
      </c>
      <c r="N1121" s="182">
        <f t="shared" ref="N1121:N1136" si="607">+M1121+L1121</f>
        <v>471321</v>
      </c>
      <c r="O1121" s="182">
        <v>341331</v>
      </c>
      <c r="P1121" s="78">
        <v>515454</v>
      </c>
      <c r="Q1121" s="87">
        <f t="shared" si="602"/>
        <v>9.3636820765465575E-2</v>
      </c>
      <c r="R1121" s="204" t="s">
        <v>1008</v>
      </c>
      <c r="S1121" s="203"/>
      <c r="T1121" s="203"/>
      <c r="U1121" s="203"/>
      <c r="V1121" s="203"/>
      <c r="W1121" s="203"/>
      <c r="X1121" s="203"/>
      <c r="Y1121" s="56"/>
      <c r="Z1121" s="56"/>
    </row>
    <row r="1122" spans="1:26" s="53" customFormat="1" ht="14.1" customHeight="1" x14ac:dyDescent="0.2">
      <c r="A1122" s="94"/>
      <c r="B1122" s="95" t="s">
        <v>103</v>
      </c>
      <c r="C1122" s="96" t="s">
        <v>104</v>
      </c>
      <c r="D1122" s="43">
        <v>422795</v>
      </c>
      <c r="E1122" s="97">
        <f>+E1123+E1124+E1125+E1126+E1137+E1138+E1139+E1140+E1141+E1143+E1144+E1146</f>
        <v>46324</v>
      </c>
      <c r="F1122" s="98">
        <f t="shared" si="603"/>
        <v>469119</v>
      </c>
      <c r="G1122" s="98">
        <f>+G1123+G1124+G1125+G1126+G1137+G1138+G1139+G1140+G1141+G1143+G1144+G1146</f>
        <v>28052</v>
      </c>
      <c r="H1122" s="98">
        <f t="shared" ref="H1122:H1146" si="608">+G1122+F1122</f>
        <v>497171</v>
      </c>
      <c r="I1122" s="97">
        <f>+I1123+I1124+I1125+I1126+I1137+I1138+I1139+I1140+I1141+I1143+I1144+I1146</f>
        <v>358467</v>
      </c>
      <c r="J1122" s="99">
        <f>+J1123+J1124+J1125+J1126+J1137+J1138+J1139+J1140+J1141+J1143+J1144+J1146</f>
        <v>515880</v>
      </c>
      <c r="K1122" s="99">
        <f>+K1123+K1124+K1125+K1126+K1137+K1138+K1139+K1140+K1141+K1143+K1144+K1146</f>
        <v>-89952</v>
      </c>
      <c r="L1122" s="170">
        <f>+L1123+L1124+L1125+L1126+L1137+L1138+L1139+L1140+L1141+L1143+L1144+L1146</f>
        <v>425928</v>
      </c>
      <c r="M1122" s="170">
        <f t="shared" ref="M1122:N1122" si="609">+M1123+M1124+M1125+M1126+M1137+M1138+M1139+M1140+M1141+M1143+M1144+M1146</f>
        <v>350</v>
      </c>
      <c r="N1122" s="170">
        <f t="shared" si="609"/>
        <v>426278</v>
      </c>
      <c r="O1122" s="170">
        <f>+O1123+O1124+O1125+O1126+O1137+O1138+O1139+O1140+O1141+O1143+O1144+O1146+O1142+O1145</f>
        <v>327483</v>
      </c>
      <c r="P1122" s="170">
        <f>+P1123+P1124+P1125+P1126+P1137+P1138+P1139+P1140+P1141+P1143+P1144+P1146+P1145+P1142</f>
        <v>563669</v>
      </c>
      <c r="Q1122" s="87">
        <f t="shared" si="602"/>
        <v>0.3223037548266624</v>
      </c>
      <c r="R1122" s="203"/>
      <c r="S1122" s="203"/>
      <c r="T1122" s="203"/>
      <c r="U1122" s="203"/>
      <c r="V1122" s="203"/>
      <c r="W1122" s="203"/>
      <c r="X1122" s="203"/>
      <c r="Y1122" s="56"/>
      <c r="Z1122" s="56"/>
    </row>
    <row r="1123" spans="1:26" ht="14.1" customHeight="1" x14ac:dyDescent="0.2">
      <c r="A1123" s="89"/>
      <c r="B1123" s="90" t="s">
        <v>105</v>
      </c>
      <c r="C1123" s="72" t="s">
        <v>115</v>
      </c>
      <c r="D1123" s="102">
        <v>6730</v>
      </c>
      <c r="E1123" s="71">
        <v>3000</v>
      </c>
      <c r="F1123" s="74">
        <f t="shared" si="603"/>
        <v>9730</v>
      </c>
      <c r="G1123" s="74"/>
      <c r="H1123" s="74">
        <f t="shared" si="608"/>
        <v>9730</v>
      </c>
      <c r="I1123" s="71">
        <v>10800</v>
      </c>
      <c r="J1123" s="73">
        <v>8380</v>
      </c>
      <c r="K1123" s="74"/>
      <c r="L1123" s="74">
        <f t="shared" ref="L1123:L1144" si="610">+K1123+J1123</f>
        <v>8380</v>
      </c>
      <c r="M1123" s="74"/>
      <c r="N1123" s="74">
        <f t="shared" si="607"/>
        <v>8380</v>
      </c>
      <c r="O1123" s="74">
        <v>7278</v>
      </c>
      <c r="P1123" s="67">
        <v>10000</v>
      </c>
      <c r="Q1123" s="87">
        <f t="shared" si="602"/>
        <v>0.19331742243436753</v>
      </c>
      <c r="R1123" s="203"/>
    </row>
    <row r="1124" spans="1:26" ht="14.1" customHeight="1" x14ac:dyDescent="0.2">
      <c r="A1124" s="89"/>
      <c r="B1124" s="90">
        <v>5503</v>
      </c>
      <c r="C1124" s="72" t="s">
        <v>107</v>
      </c>
      <c r="D1124" s="102">
        <v>500</v>
      </c>
      <c r="E1124" s="71"/>
      <c r="F1124" s="74">
        <f t="shared" si="603"/>
        <v>500</v>
      </c>
      <c r="G1124" s="74"/>
      <c r="H1124" s="74">
        <f t="shared" si="608"/>
        <v>500</v>
      </c>
      <c r="I1124" s="71">
        <v>168</v>
      </c>
      <c r="J1124" s="73">
        <v>500</v>
      </c>
      <c r="K1124" s="74"/>
      <c r="L1124" s="74">
        <f t="shared" si="610"/>
        <v>500</v>
      </c>
      <c r="M1124" s="74"/>
      <c r="N1124" s="74">
        <f t="shared" si="607"/>
        <v>500</v>
      </c>
      <c r="O1124" s="74">
        <v>5934</v>
      </c>
      <c r="P1124" s="67">
        <v>800</v>
      </c>
      <c r="Q1124" s="87">
        <f t="shared" si="602"/>
        <v>0.6</v>
      </c>
      <c r="R1124" s="206" t="s">
        <v>1578</v>
      </c>
      <c r="S1124" s="108"/>
    </row>
    <row r="1125" spans="1:26" ht="14.1" customHeight="1" x14ac:dyDescent="0.2">
      <c r="A1125" s="89"/>
      <c r="B1125" s="90" t="s">
        <v>108</v>
      </c>
      <c r="C1125" s="72" t="s">
        <v>118</v>
      </c>
      <c r="D1125" s="102">
        <v>1000</v>
      </c>
      <c r="E1125" s="71"/>
      <c r="F1125" s="74">
        <f t="shared" si="603"/>
        <v>1000</v>
      </c>
      <c r="G1125" s="74"/>
      <c r="H1125" s="74">
        <f t="shared" si="608"/>
        <v>1000</v>
      </c>
      <c r="I1125" s="71">
        <v>1061</v>
      </c>
      <c r="J1125" s="73">
        <v>3000</v>
      </c>
      <c r="K1125" s="74"/>
      <c r="L1125" s="74">
        <f t="shared" si="610"/>
        <v>3000</v>
      </c>
      <c r="M1125" s="74"/>
      <c r="N1125" s="74">
        <f t="shared" si="607"/>
        <v>3000</v>
      </c>
      <c r="O1125" s="74">
        <v>12871</v>
      </c>
      <c r="P1125" s="67">
        <v>3000</v>
      </c>
      <c r="Q1125" s="87">
        <f t="shared" si="602"/>
        <v>0</v>
      </c>
      <c r="R1125" s="206"/>
    </row>
    <row r="1126" spans="1:26" ht="14.1" customHeight="1" x14ac:dyDescent="0.2">
      <c r="A1126" s="89"/>
      <c r="B1126" s="90" t="s">
        <v>119</v>
      </c>
      <c r="C1126" s="72" t="s">
        <v>110</v>
      </c>
      <c r="D1126" s="102">
        <v>185565</v>
      </c>
      <c r="E1126" s="71"/>
      <c r="F1126" s="74">
        <f t="shared" si="603"/>
        <v>185565</v>
      </c>
      <c r="G1126" s="74"/>
      <c r="H1126" s="74">
        <f t="shared" si="608"/>
        <v>185565</v>
      </c>
      <c r="I1126" s="71">
        <f>+I1127+I1128+I1129+I1130+I1131+I1132+I1133+I1134+I1135+I1136</f>
        <v>93917</v>
      </c>
      <c r="J1126" s="73">
        <f>SUM(J1127:J1136)</f>
        <v>227000</v>
      </c>
      <c r="K1126" s="73">
        <f>SUM(K1127:K1136)</f>
        <v>-100000</v>
      </c>
      <c r="L1126" s="74">
        <f>SUM(L1127:L1136)</f>
        <v>127000</v>
      </c>
      <c r="M1126" s="74">
        <f t="shared" ref="M1126:O1126" si="611">SUM(M1127:M1136)</f>
        <v>0</v>
      </c>
      <c r="N1126" s="74">
        <f t="shared" si="611"/>
        <v>127000</v>
      </c>
      <c r="O1126" s="74">
        <f t="shared" si="611"/>
        <v>95754</v>
      </c>
      <c r="P1126" s="67">
        <f t="shared" ref="P1126" si="612">SUM(P1127:P1136)</f>
        <v>187759</v>
      </c>
      <c r="Q1126" s="87">
        <f t="shared" si="602"/>
        <v>0.47841732283464566</v>
      </c>
      <c r="R1126" s="203"/>
    </row>
    <row r="1127" spans="1:26" s="49" customFormat="1" ht="14.1" customHeight="1" x14ac:dyDescent="0.2">
      <c r="A1127" s="184"/>
      <c r="B1127" s="185"/>
      <c r="C1127" s="154" t="s">
        <v>223</v>
      </c>
      <c r="D1127" s="157">
        <v>107065</v>
      </c>
      <c r="E1127" s="158"/>
      <c r="F1127" s="153">
        <f t="shared" si="603"/>
        <v>107065</v>
      </c>
      <c r="G1127" s="153"/>
      <c r="H1127" s="153">
        <f t="shared" si="608"/>
        <v>107065</v>
      </c>
      <c r="I1127" s="158">
        <v>20921</v>
      </c>
      <c r="J1127" s="159">
        <v>130000</v>
      </c>
      <c r="K1127" s="153">
        <v>-90000</v>
      </c>
      <c r="L1127" s="153">
        <f t="shared" si="610"/>
        <v>40000</v>
      </c>
      <c r="M1127" s="153"/>
      <c r="N1127" s="153">
        <f t="shared" si="607"/>
        <v>40000</v>
      </c>
      <c r="O1127" s="153">
        <v>6521</v>
      </c>
      <c r="P1127" s="155">
        <v>50000</v>
      </c>
      <c r="Q1127" s="87">
        <f t="shared" si="602"/>
        <v>0.25</v>
      </c>
      <c r="R1127" s="204" t="s">
        <v>1002</v>
      </c>
      <c r="S1127" s="56"/>
      <c r="T1127" s="234"/>
      <c r="V1127" s="56"/>
      <c r="W1127" s="56"/>
      <c r="X1127" s="56"/>
      <c r="Y1127" s="56"/>
      <c r="Z1127" s="56"/>
    </row>
    <row r="1128" spans="1:26" s="49" customFormat="1" ht="14.1" customHeight="1" x14ac:dyDescent="0.2">
      <c r="A1128" s="184"/>
      <c r="B1128" s="185"/>
      <c r="C1128" s="154" t="s">
        <v>224</v>
      </c>
      <c r="D1128" s="157">
        <v>62000</v>
      </c>
      <c r="E1128" s="158"/>
      <c r="F1128" s="153">
        <f t="shared" si="603"/>
        <v>62000</v>
      </c>
      <c r="G1128" s="153"/>
      <c r="H1128" s="153">
        <f t="shared" si="608"/>
        <v>62000</v>
      </c>
      <c r="I1128" s="158">
        <v>28196</v>
      </c>
      <c r="J1128" s="159">
        <v>62000</v>
      </c>
      <c r="K1128" s="153">
        <v>-10000</v>
      </c>
      <c r="L1128" s="153">
        <f t="shared" si="610"/>
        <v>52000</v>
      </c>
      <c r="M1128" s="153"/>
      <c r="N1128" s="153">
        <f t="shared" si="607"/>
        <v>52000</v>
      </c>
      <c r="O1128" s="153">
        <v>45685</v>
      </c>
      <c r="P1128" s="155">
        <v>90000</v>
      </c>
      <c r="Q1128" s="87">
        <f t="shared" si="602"/>
        <v>0.73076923076923073</v>
      </c>
      <c r="R1128" s="203" t="s">
        <v>1001</v>
      </c>
      <c r="S1128" s="56"/>
      <c r="T1128" s="234"/>
      <c r="V1128" s="56"/>
      <c r="W1128" s="56"/>
      <c r="X1128" s="56"/>
      <c r="Y1128" s="56"/>
      <c r="Z1128" s="56"/>
    </row>
    <row r="1129" spans="1:26" s="49" customFormat="1" ht="14.1" customHeight="1" x14ac:dyDescent="0.2">
      <c r="A1129" s="184"/>
      <c r="B1129" s="185"/>
      <c r="C1129" s="154" t="s">
        <v>225</v>
      </c>
      <c r="D1129" s="157">
        <v>3000</v>
      </c>
      <c r="E1129" s="158"/>
      <c r="F1129" s="153">
        <f t="shared" si="603"/>
        <v>3000</v>
      </c>
      <c r="G1129" s="153"/>
      <c r="H1129" s="153">
        <f t="shared" si="608"/>
        <v>3000</v>
      </c>
      <c r="I1129" s="158">
        <v>2142</v>
      </c>
      <c r="J1129" s="159">
        <v>3000</v>
      </c>
      <c r="K1129" s="153"/>
      <c r="L1129" s="153">
        <f t="shared" si="610"/>
        <v>3000</v>
      </c>
      <c r="M1129" s="153"/>
      <c r="N1129" s="153">
        <f t="shared" si="607"/>
        <v>3000</v>
      </c>
      <c r="O1129" s="153">
        <v>3466</v>
      </c>
      <c r="P1129" s="155">
        <v>4000</v>
      </c>
      <c r="Q1129" s="87">
        <f t="shared" si="602"/>
        <v>0.33333333333333331</v>
      </c>
      <c r="R1129" s="203"/>
      <c r="S1129" s="56"/>
      <c r="T1129" s="234"/>
      <c r="V1129" s="56"/>
      <c r="W1129" s="56"/>
      <c r="X1129" s="56"/>
      <c r="Y1129" s="56"/>
      <c r="Z1129" s="56"/>
    </row>
    <row r="1130" spans="1:26" s="49" customFormat="1" ht="14.1" customHeight="1" x14ac:dyDescent="0.2">
      <c r="A1130" s="184"/>
      <c r="B1130" s="185"/>
      <c r="C1130" s="154" t="s">
        <v>367</v>
      </c>
      <c r="D1130" s="157">
        <v>4000</v>
      </c>
      <c r="E1130" s="158"/>
      <c r="F1130" s="153">
        <f t="shared" si="603"/>
        <v>4000</v>
      </c>
      <c r="G1130" s="153"/>
      <c r="H1130" s="153">
        <f t="shared" si="608"/>
        <v>4000</v>
      </c>
      <c r="I1130" s="158">
        <v>27475</v>
      </c>
      <c r="J1130" s="159">
        <v>6000</v>
      </c>
      <c r="K1130" s="153"/>
      <c r="L1130" s="153">
        <f t="shared" si="610"/>
        <v>6000</v>
      </c>
      <c r="M1130" s="153"/>
      <c r="N1130" s="153">
        <f t="shared" si="607"/>
        <v>6000</v>
      </c>
      <c r="O1130" s="153">
        <v>18964</v>
      </c>
      <c r="P1130" s="155">
        <v>19000</v>
      </c>
      <c r="Q1130" s="87">
        <f t="shared" si="602"/>
        <v>2.1666666666666665</v>
      </c>
      <c r="R1130" s="203"/>
      <c r="S1130" s="56"/>
      <c r="V1130" s="56"/>
      <c r="W1130" s="56"/>
      <c r="X1130" s="56"/>
      <c r="Y1130" s="56"/>
      <c r="Z1130" s="56"/>
    </row>
    <row r="1131" spans="1:26" s="49" customFormat="1" ht="14.1" customHeight="1" x14ac:dyDescent="0.2">
      <c r="A1131" s="184"/>
      <c r="B1131" s="185"/>
      <c r="C1131" s="154" t="s">
        <v>227</v>
      </c>
      <c r="D1131" s="157">
        <v>5000</v>
      </c>
      <c r="E1131" s="158"/>
      <c r="F1131" s="153">
        <f t="shared" si="603"/>
        <v>5000</v>
      </c>
      <c r="G1131" s="153"/>
      <c r="H1131" s="153">
        <f t="shared" si="608"/>
        <v>5000</v>
      </c>
      <c r="I1131" s="158">
        <v>7721</v>
      </c>
      <c r="J1131" s="159">
        <v>9000</v>
      </c>
      <c r="K1131" s="153"/>
      <c r="L1131" s="153">
        <f t="shared" si="610"/>
        <v>9000</v>
      </c>
      <c r="M1131" s="153"/>
      <c r="N1131" s="153">
        <f t="shared" si="607"/>
        <v>9000</v>
      </c>
      <c r="O1131" s="153">
        <v>9175</v>
      </c>
      <c r="P1131" s="155">
        <v>9000</v>
      </c>
      <c r="Q1131" s="87">
        <f t="shared" si="602"/>
        <v>0</v>
      </c>
      <c r="R1131" s="203"/>
      <c r="S1131" s="56"/>
      <c r="V1131" s="56"/>
      <c r="W1131" s="56"/>
      <c r="X1131" s="56"/>
      <c r="Y1131" s="56"/>
      <c r="Z1131" s="56"/>
    </row>
    <row r="1132" spans="1:26" s="49" customFormat="1" ht="14.1" customHeight="1" x14ac:dyDescent="0.2">
      <c r="A1132" s="184"/>
      <c r="B1132" s="185"/>
      <c r="C1132" s="154" t="s">
        <v>228</v>
      </c>
      <c r="D1132" s="157">
        <v>2500</v>
      </c>
      <c r="E1132" s="158"/>
      <c r="F1132" s="153">
        <f t="shared" si="603"/>
        <v>2500</v>
      </c>
      <c r="G1132" s="153"/>
      <c r="H1132" s="153">
        <f t="shared" si="608"/>
        <v>2500</v>
      </c>
      <c r="I1132" s="158">
        <v>3490</v>
      </c>
      <c r="J1132" s="159">
        <v>5000</v>
      </c>
      <c r="K1132" s="153"/>
      <c r="L1132" s="153">
        <f t="shared" si="610"/>
        <v>5000</v>
      </c>
      <c r="M1132" s="153"/>
      <c r="N1132" s="153">
        <f t="shared" si="607"/>
        <v>5000</v>
      </c>
      <c r="O1132" s="153">
        <v>5500</v>
      </c>
      <c r="P1132" s="155">
        <v>8000</v>
      </c>
      <c r="Q1132" s="87">
        <f t="shared" si="602"/>
        <v>0.6</v>
      </c>
      <c r="R1132" s="206"/>
      <c r="S1132" s="56"/>
      <c r="V1132" s="56"/>
      <c r="W1132" s="56"/>
      <c r="X1132" s="56"/>
      <c r="Y1132" s="56"/>
      <c r="Z1132" s="56"/>
    </row>
    <row r="1133" spans="1:26" s="49" customFormat="1" ht="14.1" customHeight="1" x14ac:dyDescent="0.2">
      <c r="A1133" s="184"/>
      <c r="B1133" s="185"/>
      <c r="C1133" s="154" t="s">
        <v>230</v>
      </c>
      <c r="D1133" s="157">
        <v>0</v>
      </c>
      <c r="E1133" s="158"/>
      <c r="F1133" s="153">
        <f t="shared" si="603"/>
        <v>0</v>
      </c>
      <c r="G1133" s="153"/>
      <c r="H1133" s="153">
        <f t="shared" si="608"/>
        <v>0</v>
      </c>
      <c r="I1133" s="158">
        <v>488</v>
      </c>
      <c r="J1133" s="159">
        <v>10000</v>
      </c>
      <c r="K1133" s="153"/>
      <c r="L1133" s="153">
        <f t="shared" si="610"/>
        <v>10000</v>
      </c>
      <c r="M1133" s="153"/>
      <c r="N1133" s="153">
        <f t="shared" si="607"/>
        <v>10000</v>
      </c>
      <c r="O1133" s="153">
        <v>224</v>
      </c>
      <c r="P1133" s="155">
        <v>1000</v>
      </c>
      <c r="Q1133" s="87">
        <f t="shared" si="602"/>
        <v>-0.9</v>
      </c>
      <c r="R1133" s="204"/>
      <c r="S1133" s="56"/>
      <c r="V1133" s="56"/>
      <c r="W1133" s="56"/>
      <c r="X1133" s="56"/>
      <c r="Y1133" s="56"/>
      <c r="Z1133" s="56"/>
    </row>
    <row r="1134" spans="1:26" s="49" customFormat="1" ht="14.1" customHeight="1" x14ac:dyDescent="0.2">
      <c r="A1134" s="184"/>
      <c r="B1134" s="185"/>
      <c r="C1134" s="154" t="s">
        <v>231</v>
      </c>
      <c r="D1134" s="157">
        <v>1000</v>
      </c>
      <c r="E1134" s="158"/>
      <c r="F1134" s="153">
        <f t="shared" si="603"/>
        <v>1000</v>
      </c>
      <c r="G1134" s="153"/>
      <c r="H1134" s="153">
        <f t="shared" si="608"/>
        <v>1000</v>
      </c>
      <c r="I1134" s="158">
        <v>0</v>
      </c>
      <c r="J1134" s="235"/>
      <c r="K1134" s="236"/>
      <c r="L1134" s="153">
        <f t="shared" si="610"/>
        <v>0</v>
      </c>
      <c r="M1134" s="153"/>
      <c r="N1134" s="153">
        <f t="shared" si="607"/>
        <v>0</v>
      </c>
      <c r="O1134" s="153">
        <v>3759</v>
      </c>
      <c r="P1134" s="155">
        <v>3759</v>
      </c>
      <c r="Q1134" s="87" t="e">
        <f t="shared" si="602"/>
        <v>#DIV/0!</v>
      </c>
      <c r="R1134" s="204"/>
      <c r="S1134" s="56"/>
      <c r="V1134" s="56"/>
      <c r="W1134" s="56"/>
      <c r="X1134" s="56"/>
      <c r="Y1134" s="56"/>
      <c r="Z1134" s="56"/>
    </row>
    <row r="1135" spans="1:26" s="49" customFormat="1" ht="14.1" customHeight="1" x14ac:dyDescent="0.2">
      <c r="A1135" s="184"/>
      <c r="B1135" s="185"/>
      <c r="C1135" s="154" t="s">
        <v>229</v>
      </c>
      <c r="D1135" s="157">
        <v>0</v>
      </c>
      <c r="E1135" s="158"/>
      <c r="F1135" s="153">
        <f t="shared" si="603"/>
        <v>0</v>
      </c>
      <c r="G1135" s="153"/>
      <c r="H1135" s="153">
        <f t="shared" si="608"/>
        <v>0</v>
      </c>
      <c r="I1135" s="158">
        <v>520</v>
      </c>
      <c r="J1135" s="159">
        <v>1000</v>
      </c>
      <c r="K1135" s="153"/>
      <c r="L1135" s="153">
        <f t="shared" si="610"/>
        <v>1000</v>
      </c>
      <c r="M1135" s="153"/>
      <c r="N1135" s="153">
        <f t="shared" si="607"/>
        <v>1000</v>
      </c>
      <c r="O1135" s="153"/>
      <c r="P1135" s="155"/>
      <c r="Q1135" s="87">
        <f t="shared" si="602"/>
        <v>-1</v>
      </c>
      <c r="R1135" s="204"/>
      <c r="S1135" s="56"/>
      <c r="V1135" s="56"/>
      <c r="W1135" s="56"/>
      <c r="X1135" s="56"/>
      <c r="Y1135" s="56"/>
      <c r="Z1135" s="56"/>
    </row>
    <row r="1136" spans="1:26" s="49" customFormat="1" ht="14.1" customHeight="1" x14ac:dyDescent="0.2">
      <c r="A1136" s="184"/>
      <c r="B1136" s="185"/>
      <c r="C1136" s="237" t="s">
        <v>368</v>
      </c>
      <c r="D1136" s="157">
        <v>1000</v>
      </c>
      <c r="E1136" s="158"/>
      <c r="F1136" s="153">
        <f t="shared" si="603"/>
        <v>1000</v>
      </c>
      <c r="G1136" s="153"/>
      <c r="H1136" s="153">
        <f t="shared" si="608"/>
        <v>1000</v>
      </c>
      <c r="I1136" s="158">
        <v>2964</v>
      </c>
      <c r="J1136" s="159">
        <v>1000</v>
      </c>
      <c r="K1136" s="153"/>
      <c r="L1136" s="153">
        <f t="shared" si="610"/>
        <v>1000</v>
      </c>
      <c r="M1136" s="153"/>
      <c r="N1136" s="153">
        <f t="shared" si="607"/>
        <v>1000</v>
      </c>
      <c r="O1136" s="153">
        <v>2460</v>
      </c>
      <c r="P1136" s="155">
        <v>3000</v>
      </c>
      <c r="Q1136" s="87">
        <f t="shared" si="602"/>
        <v>2</v>
      </c>
      <c r="R1136" s="203" t="s">
        <v>1003</v>
      </c>
      <c r="S1136" s="56"/>
      <c r="V1136" s="56"/>
      <c r="W1136" s="56"/>
      <c r="X1136" s="56"/>
      <c r="Y1136" s="56"/>
      <c r="Z1136" s="56"/>
    </row>
    <row r="1137" spans="1:21" ht="14.1" customHeight="1" x14ac:dyDescent="0.2">
      <c r="A1137" s="89"/>
      <c r="B1137" s="90" t="s">
        <v>129</v>
      </c>
      <c r="C1137" s="72" t="s">
        <v>130</v>
      </c>
      <c r="D1137" s="102">
        <v>10000</v>
      </c>
      <c r="E1137" s="71"/>
      <c r="F1137" s="74">
        <f t="shared" si="603"/>
        <v>10000</v>
      </c>
      <c r="G1137" s="74"/>
      <c r="H1137" s="74">
        <f t="shared" si="608"/>
        <v>10000</v>
      </c>
      <c r="I1137" s="71">
        <v>5562</v>
      </c>
      <c r="J1137" s="73">
        <v>12000</v>
      </c>
      <c r="K1137" s="74">
        <v>-2000</v>
      </c>
      <c r="L1137" s="74">
        <f t="shared" si="610"/>
        <v>10000</v>
      </c>
      <c r="M1137" s="74"/>
      <c r="N1137" s="74">
        <f t="shared" ref="N1137:N1146" si="613">+M1137+L1137</f>
        <v>10000</v>
      </c>
      <c r="O1137" s="74">
        <v>6567</v>
      </c>
      <c r="P1137" s="67">
        <v>8300</v>
      </c>
      <c r="Q1137" s="87">
        <f t="shared" si="602"/>
        <v>-0.17</v>
      </c>
      <c r="R1137" s="203"/>
    </row>
    <row r="1138" spans="1:21" ht="14.25" customHeight="1" x14ac:dyDescent="0.2">
      <c r="A1138" s="89"/>
      <c r="B1138" s="90" t="s">
        <v>131</v>
      </c>
      <c r="C1138" s="172" t="s">
        <v>112</v>
      </c>
      <c r="D1138" s="102">
        <v>17000</v>
      </c>
      <c r="E1138" s="71"/>
      <c r="F1138" s="74">
        <f t="shared" si="603"/>
        <v>17000</v>
      </c>
      <c r="G1138" s="74"/>
      <c r="H1138" s="74">
        <f t="shared" si="608"/>
        <v>17000</v>
      </c>
      <c r="I1138" s="71">
        <v>34007</v>
      </c>
      <c r="J1138" s="73">
        <v>53000</v>
      </c>
      <c r="K1138" s="74"/>
      <c r="L1138" s="74">
        <f t="shared" si="610"/>
        <v>53000</v>
      </c>
      <c r="M1138" s="74"/>
      <c r="N1138" s="74">
        <f t="shared" si="613"/>
        <v>53000</v>
      </c>
      <c r="O1138" s="74">
        <v>30985</v>
      </c>
      <c r="P1138" s="67">
        <v>62500</v>
      </c>
      <c r="Q1138" s="87">
        <f t="shared" si="602"/>
        <v>0.17924528301886791</v>
      </c>
      <c r="R1138" s="203" t="s">
        <v>1004</v>
      </c>
    </row>
    <row r="1139" spans="1:21" ht="14.1" customHeight="1" x14ac:dyDescent="0.2">
      <c r="A1139" s="89"/>
      <c r="B1139" s="90" t="s">
        <v>132</v>
      </c>
      <c r="C1139" s="172" t="s">
        <v>133</v>
      </c>
      <c r="D1139" s="102">
        <v>171000</v>
      </c>
      <c r="E1139" s="71"/>
      <c r="F1139" s="74">
        <f t="shared" si="603"/>
        <v>171000</v>
      </c>
      <c r="G1139" s="74">
        <v>2042</v>
      </c>
      <c r="H1139" s="74">
        <f t="shared" si="608"/>
        <v>173042</v>
      </c>
      <c r="I1139" s="71">
        <v>182197</v>
      </c>
      <c r="J1139" s="73">
        <v>171000</v>
      </c>
      <c r="K1139" s="74">
        <v>-5000</v>
      </c>
      <c r="L1139" s="74">
        <f t="shared" si="610"/>
        <v>166000</v>
      </c>
      <c r="M1139" s="74"/>
      <c r="N1139" s="74">
        <f t="shared" si="613"/>
        <v>166000</v>
      </c>
      <c r="O1139" s="74">
        <v>120078</v>
      </c>
      <c r="P1139" s="67">
        <v>186000</v>
      </c>
      <c r="Q1139" s="87">
        <f t="shared" si="602"/>
        <v>0.12048192771084337</v>
      </c>
      <c r="R1139" s="203" t="s">
        <v>1005</v>
      </c>
    </row>
    <row r="1140" spans="1:21" ht="14.1" customHeight="1" x14ac:dyDescent="0.2">
      <c r="A1140" s="89"/>
      <c r="B1140" s="90" t="s">
        <v>134</v>
      </c>
      <c r="C1140" s="172" t="s">
        <v>135</v>
      </c>
      <c r="D1140" s="102">
        <v>5000</v>
      </c>
      <c r="E1140" s="71"/>
      <c r="F1140" s="74">
        <f t="shared" si="603"/>
        <v>5000</v>
      </c>
      <c r="G1140" s="74"/>
      <c r="H1140" s="74">
        <f t="shared" si="608"/>
        <v>5000</v>
      </c>
      <c r="I1140" s="71">
        <v>2985</v>
      </c>
      <c r="J1140" s="73">
        <v>6000</v>
      </c>
      <c r="K1140" s="74"/>
      <c r="L1140" s="74">
        <f t="shared" si="610"/>
        <v>6000</v>
      </c>
      <c r="M1140" s="74"/>
      <c r="N1140" s="74">
        <f t="shared" si="613"/>
        <v>6000</v>
      </c>
      <c r="O1140" s="74">
        <v>5829</v>
      </c>
      <c r="P1140" s="67">
        <v>14000</v>
      </c>
      <c r="Q1140" s="87">
        <f t="shared" si="602"/>
        <v>1.3333333333333333</v>
      </c>
      <c r="R1140" s="203" t="s">
        <v>1415</v>
      </c>
    </row>
    <row r="1141" spans="1:21" ht="14.1" customHeight="1" x14ac:dyDescent="0.2">
      <c r="A1141" s="89"/>
      <c r="B1141" s="90" t="s">
        <v>136</v>
      </c>
      <c r="C1141" s="172" t="s">
        <v>137</v>
      </c>
      <c r="D1141" s="102">
        <v>2000</v>
      </c>
      <c r="E1141" s="71"/>
      <c r="F1141" s="74">
        <f t="shared" si="603"/>
        <v>2000</v>
      </c>
      <c r="G1141" s="74"/>
      <c r="H1141" s="74">
        <f t="shared" si="608"/>
        <v>2000</v>
      </c>
      <c r="I1141" s="71">
        <v>930</v>
      </c>
      <c r="J1141" s="73">
        <v>4000</v>
      </c>
      <c r="K1141" s="74"/>
      <c r="L1141" s="74">
        <f t="shared" si="610"/>
        <v>4000</v>
      </c>
      <c r="M1141" s="74"/>
      <c r="N1141" s="74">
        <f t="shared" si="613"/>
        <v>4000</v>
      </c>
      <c r="O1141" s="74">
        <v>1996</v>
      </c>
      <c r="P1141" s="67">
        <v>3000</v>
      </c>
      <c r="Q1141" s="87">
        <f t="shared" si="602"/>
        <v>-0.25</v>
      </c>
      <c r="R1141" s="203"/>
    </row>
    <row r="1142" spans="1:21" ht="14.1" customHeight="1" x14ac:dyDescent="0.2">
      <c r="A1142" s="89"/>
      <c r="B1142" s="90">
        <v>5523</v>
      </c>
      <c r="C1142" s="172" t="s">
        <v>393</v>
      </c>
      <c r="D1142" s="102"/>
      <c r="E1142" s="71"/>
      <c r="F1142" s="74"/>
      <c r="G1142" s="74"/>
      <c r="H1142" s="74"/>
      <c r="I1142" s="71"/>
      <c r="J1142" s="73"/>
      <c r="K1142" s="74"/>
      <c r="L1142" s="74"/>
      <c r="M1142" s="74"/>
      <c r="N1142" s="74"/>
      <c r="O1142" s="74">
        <v>46</v>
      </c>
      <c r="P1142" s="67">
        <v>1500</v>
      </c>
      <c r="Q1142" s="87"/>
      <c r="R1142" s="203" t="s">
        <v>1006</v>
      </c>
    </row>
    <row r="1143" spans="1:21" ht="14.1" customHeight="1" x14ac:dyDescent="0.2">
      <c r="A1143" s="89"/>
      <c r="B1143" s="90" t="s">
        <v>344</v>
      </c>
      <c r="C1143" s="172" t="s">
        <v>351</v>
      </c>
      <c r="D1143" s="102">
        <v>12000</v>
      </c>
      <c r="E1143" s="71">
        <v>32264</v>
      </c>
      <c r="F1143" s="74">
        <f t="shared" si="603"/>
        <v>44264</v>
      </c>
      <c r="G1143" s="74"/>
      <c r="H1143" s="74">
        <f t="shared" si="608"/>
        <v>44264</v>
      </c>
      <c r="I1143" s="71">
        <v>15943</v>
      </c>
      <c r="J1143" s="73">
        <v>13000</v>
      </c>
      <c r="K1143" s="74"/>
      <c r="L1143" s="74">
        <f t="shared" si="610"/>
        <v>13000</v>
      </c>
      <c r="M1143" s="74"/>
      <c r="N1143" s="74">
        <f t="shared" si="613"/>
        <v>13000</v>
      </c>
      <c r="O1143" s="74">
        <v>25165</v>
      </c>
      <c r="P1143" s="67">
        <v>35000</v>
      </c>
      <c r="Q1143" s="87">
        <f t="shared" si="602"/>
        <v>1.6923076923076923</v>
      </c>
      <c r="R1143" s="203" t="s">
        <v>1538</v>
      </c>
    </row>
    <row r="1144" spans="1:21" ht="14.1" customHeight="1" x14ac:dyDescent="0.2">
      <c r="A1144" s="89"/>
      <c r="B1144" s="90" t="s">
        <v>138</v>
      </c>
      <c r="C1144" s="172" t="s">
        <v>139</v>
      </c>
      <c r="D1144" s="102">
        <v>6000</v>
      </c>
      <c r="E1144" s="71">
        <v>11060</v>
      </c>
      <c r="F1144" s="74">
        <f t="shared" si="603"/>
        <v>17060</v>
      </c>
      <c r="G1144" s="74"/>
      <c r="H1144" s="74">
        <f t="shared" si="608"/>
        <v>17060</v>
      </c>
      <c r="I1144" s="71">
        <v>7791</v>
      </c>
      <c r="J1144" s="73">
        <v>10000</v>
      </c>
      <c r="K1144" s="74"/>
      <c r="L1144" s="74">
        <f t="shared" si="610"/>
        <v>10000</v>
      </c>
      <c r="M1144" s="92">
        <v>350</v>
      </c>
      <c r="N1144" s="74">
        <f t="shared" si="613"/>
        <v>10350</v>
      </c>
      <c r="O1144" s="74">
        <v>11619</v>
      </c>
      <c r="P1144" s="67">
        <v>12000</v>
      </c>
      <c r="Q1144" s="87">
        <f t="shared" si="602"/>
        <v>0.15942028985507245</v>
      </c>
      <c r="R1144" s="203"/>
      <c r="S1144" s="49"/>
    </row>
    <row r="1145" spans="1:21" ht="14.1" customHeight="1" x14ac:dyDescent="0.2">
      <c r="A1145" s="89"/>
      <c r="B1145" s="90">
        <v>5532</v>
      </c>
      <c r="C1145" s="172" t="s">
        <v>981</v>
      </c>
      <c r="D1145" s="102"/>
      <c r="E1145" s="71"/>
      <c r="F1145" s="74"/>
      <c r="G1145" s="74"/>
      <c r="H1145" s="74"/>
      <c r="I1145" s="71"/>
      <c r="J1145" s="73"/>
      <c r="K1145" s="74"/>
      <c r="L1145" s="74"/>
      <c r="M1145" s="92"/>
      <c r="N1145" s="74"/>
      <c r="O1145" s="74"/>
      <c r="P1145" s="67">
        <v>200</v>
      </c>
      <c r="Q1145" s="87"/>
      <c r="R1145" s="203" t="s">
        <v>1007</v>
      </c>
      <c r="S1145" s="49"/>
    </row>
    <row r="1146" spans="1:21" ht="14.1" customHeight="1" x14ac:dyDescent="0.2">
      <c r="A1146" s="89"/>
      <c r="B1146" s="90" t="s">
        <v>164</v>
      </c>
      <c r="C1146" s="172" t="s">
        <v>193</v>
      </c>
      <c r="D1146" s="102">
        <v>6000</v>
      </c>
      <c r="E1146" s="71"/>
      <c r="F1146" s="74">
        <f t="shared" si="603"/>
        <v>6000</v>
      </c>
      <c r="G1146" s="74">
        <v>26010</v>
      </c>
      <c r="H1146" s="74">
        <f t="shared" si="608"/>
        <v>32010</v>
      </c>
      <c r="I1146" s="71">
        <v>3106</v>
      </c>
      <c r="J1146" s="73">
        <v>8000</v>
      </c>
      <c r="K1146" s="74">
        <v>17048</v>
      </c>
      <c r="L1146" s="74">
        <f>+K1146+J1146</f>
        <v>25048</v>
      </c>
      <c r="M1146" s="74"/>
      <c r="N1146" s="74">
        <f t="shared" si="613"/>
        <v>25048</v>
      </c>
      <c r="O1146" s="74">
        <v>3361</v>
      </c>
      <c r="P1146" s="67">
        <v>39610</v>
      </c>
      <c r="Q1146" s="87">
        <f t="shared" si="602"/>
        <v>0.58136378153944424</v>
      </c>
      <c r="R1146" s="203" t="s">
        <v>1539</v>
      </c>
    </row>
    <row r="1147" spans="1:21" ht="14.1" customHeight="1" x14ac:dyDescent="0.2">
      <c r="A1147" s="146" t="s">
        <v>697</v>
      </c>
      <c r="B1147" s="147"/>
      <c r="C1147" s="148" t="s">
        <v>369</v>
      </c>
      <c r="D1147" s="149">
        <v>1053871</v>
      </c>
      <c r="E1147" s="150"/>
      <c r="F1147" s="137">
        <f t="shared" si="603"/>
        <v>1053871</v>
      </c>
      <c r="G1147" s="137">
        <v>0</v>
      </c>
      <c r="H1147" s="137">
        <f>+H1148+H1149</f>
        <v>1053871</v>
      </c>
      <c r="I1147" s="151">
        <f>+I1148+I1149</f>
        <v>881586</v>
      </c>
      <c r="J1147" s="152">
        <f>+J1148+J1149</f>
        <v>1053871</v>
      </c>
      <c r="K1147" s="152">
        <f t="shared" ref="K1147:L1147" si="614">+K1148+K1149</f>
        <v>146692</v>
      </c>
      <c r="L1147" s="152">
        <f t="shared" si="614"/>
        <v>1200563</v>
      </c>
      <c r="M1147" s="152">
        <f t="shared" ref="M1147:N1147" si="615">+M1148+M1149</f>
        <v>0</v>
      </c>
      <c r="N1147" s="152">
        <f t="shared" si="615"/>
        <v>1200563</v>
      </c>
      <c r="O1147" s="152">
        <f t="shared" ref="O1147:P1147" si="616">+O1148+O1149</f>
        <v>940495</v>
      </c>
      <c r="P1147" s="152">
        <f t="shared" si="616"/>
        <v>1616880</v>
      </c>
      <c r="Q1147" s="87">
        <f t="shared" si="602"/>
        <v>0.34676814128038264</v>
      </c>
      <c r="R1147" s="203"/>
      <c r="T1147" s="57"/>
    </row>
    <row r="1148" spans="1:21" ht="14.1" customHeight="1" x14ac:dyDescent="0.2">
      <c r="A1148" s="89"/>
      <c r="B1148" s="95" t="s">
        <v>101</v>
      </c>
      <c r="C1148" s="96" t="s">
        <v>102</v>
      </c>
      <c r="D1148" s="43">
        <v>1016608</v>
      </c>
      <c r="E1148" s="97"/>
      <c r="F1148" s="98">
        <f t="shared" si="603"/>
        <v>1016608</v>
      </c>
      <c r="G1148" s="98"/>
      <c r="H1148" s="98">
        <f>+G1148+F1148</f>
        <v>1016608</v>
      </c>
      <c r="I1148" s="97">
        <v>848472</v>
      </c>
      <c r="J1148" s="99">
        <v>1016608</v>
      </c>
      <c r="K1148" s="98">
        <v>137495</v>
      </c>
      <c r="L1148" s="182">
        <f>+K1148+J1148</f>
        <v>1154103</v>
      </c>
      <c r="M1148" s="182"/>
      <c r="N1148" s="182">
        <f t="shared" ref="N1148:N1152" si="617">+M1148+L1148</f>
        <v>1154103</v>
      </c>
      <c r="O1148" s="182">
        <v>897207</v>
      </c>
      <c r="P1148" s="78">
        <v>1567913</v>
      </c>
      <c r="Q1148" s="87">
        <f t="shared" si="602"/>
        <v>0.35855551887483178</v>
      </c>
      <c r="R1148" s="204" t="s">
        <v>1009</v>
      </c>
      <c r="T1148" s="57"/>
      <c r="U1148" s="57"/>
    </row>
    <row r="1149" spans="1:21" ht="14.1" customHeight="1" x14ac:dyDescent="0.2">
      <c r="A1149" s="89"/>
      <c r="B1149" s="95" t="s">
        <v>103</v>
      </c>
      <c r="C1149" s="96" t="s">
        <v>104</v>
      </c>
      <c r="D1149" s="43">
        <v>37263</v>
      </c>
      <c r="E1149" s="97"/>
      <c r="F1149" s="98">
        <f t="shared" si="603"/>
        <v>37263</v>
      </c>
      <c r="G1149" s="98"/>
      <c r="H1149" s="98">
        <f t="shared" ref="H1149:H1151" si="618">+G1149+F1149</f>
        <v>37263</v>
      </c>
      <c r="I1149" s="97">
        <f>+I1150+I1151</f>
        <v>33114</v>
      </c>
      <c r="J1149" s="99">
        <f>+J1150+J1151</f>
        <v>37263</v>
      </c>
      <c r="K1149" s="98">
        <f>+K1150+K1151+K1152</f>
        <v>9197</v>
      </c>
      <c r="L1149" s="170">
        <f>+L1150+L1151+L1152</f>
        <v>46460</v>
      </c>
      <c r="M1149" s="170">
        <f t="shared" ref="M1149:N1149" si="619">+M1150+M1151+M1152</f>
        <v>0</v>
      </c>
      <c r="N1149" s="170">
        <f t="shared" si="619"/>
        <v>46460</v>
      </c>
      <c r="O1149" s="170">
        <f t="shared" ref="O1149" si="620">+O1150+O1151+O1152</f>
        <v>43288</v>
      </c>
      <c r="P1149" s="170">
        <f t="shared" ref="P1149" si="621">+P1150+P1151+P1152</f>
        <v>48967</v>
      </c>
      <c r="Q1149" s="87">
        <f t="shared" si="602"/>
        <v>5.396039603960396E-2</v>
      </c>
      <c r="R1149" s="206"/>
    </row>
    <row r="1150" spans="1:21" ht="14.1" customHeight="1" x14ac:dyDescent="0.2">
      <c r="A1150" s="89"/>
      <c r="B1150" s="90">
        <v>5504</v>
      </c>
      <c r="C1150" s="72" t="s">
        <v>118</v>
      </c>
      <c r="D1150" s="102">
        <v>5718</v>
      </c>
      <c r="E1150" s="104"/>
      <c r="F1150" s="74">
        <f t="shared" si="603"/>
        <v>5718</v>
      </c>
      <c r="G1150" s="74"/>
      <c r="H1150" s="74">
        <f t="shared" si="618"/>
        <v>5718</v>
      </c>
      <c r="I1150" s="71">
        <v>1679</v>
      </c>
      <c r="J1150" s="73">
        <v>5718</v>
      </c>
      <c r="K1150" s="74">
        <v>-304</v>
      </c>
      <c r="L1150" s="74">
        <f t="shared" ref="L1150:L1152" si="622">+K1150+J1150</f>
        <v>5414</v>
      </c>
      <c r="M1150" s="74"/>
      <c r="N1150" s="74">
        <f t="shared" si="617"/>
        <v>5414</v>
      </c>
      <c r="O1150" s="74">
        <v>2575</v>
      </c>
      <c r="P1150" s="67">
        <v>7164</v>
      </c>
      <c r="Q1150" s="87">
        <f t="shared" si="602"/>
        <v>0.32323605467306982</v>
      </c>
      <c r="R1150" s="206"/>
    </row>
    <row r="1151" spans="1:21" ht="14.1" customHeight="1" x14ac:dyDescent="0.2">
      <c r="A1151" s="89"/>
      <c r="B1151" s="90" t="s">
        <v>344</v>
      </c>
      <c r="C1151" s="72" t="s">
        <v>370</v>
      </c>
      <c r="D1151" s="102">
        <v>31545</v>
      </c>
      <c r="E1151" s="71"/>
      <c r="F1151" s="74">
        <f t="shared" si="603"/>
        <v>31545</v>
      </c>
      <c r="G1151" s="74"/>
      <c r="H1151" s="74">
        <f t="shared" si="618"/>
        <v>31545</v>
      </c>
      <c r="I1151" s="71">
        <v>31435</v>
      </c>
      <c r="J1151" s="73">
        <v>31545</v>
      </c>
      <c r="K1151" s="74">
        <v>4668</v>
      </c>
      <c r="L1151" s="74">
        <f t="shared" si="622"/>
        <v>36213</v>
      </c>
      <c r="M1151" s="74"/>
      <c r="N1151" s="74">
        <f t="shared" si="617"/>
        <v>36213</v>
      </c>
      <c r="O1151" s="74">
        <v>40228</v>
      </c>
      <c r="P1151" s="67">
        <v>34029</v>
      </c>
      <c r="Q1151" s="87">
        <f t="shared" si="602"/>
        <v>-6.0309833485212495E-2</v>
      </c>
      <c r="R1151" s="206"/>
    </row>
    <row r="1152" spans="1:21" ht="14.1" customHeight="1" x14ac:dyDescent="0.2">
      <c r="A1152" s="89"/>
      <c r="B1152" s="90">
        <v>5525</v>
      </c>
      <c r="C1152" s="72" t="s">
        <v>299</v>
      </c>
      <c r="D1152" s="102"/>
      <c r="E1152" s="71"/>
      <c r="F1152" s="74"/>
      <c r="G1152" s="74"/>
      <c r="H1152" s="74"/>
      <c r="I1152" s="71"/>
      <c r="J1152" s="73"/>
      <c r="K1152" s="74">
        <v>4833</v>
      </c>
      <c r="L1152" s="74">
        <f t="shared" si="622"/>
        <v>4833</v>
      </c>
      <c r="M1152" s="74"/>
      <c r="N1152" s="74">
        <f t="shared" si="617"/>
        <v>4833</v>
      </c>
      <c r="O1152" s="74">
        <v>485</v>
      </c>
      <c r="P1152" s="67">
        <v>7774</v>
      </c>
      <c r="Q1152" s="87">
        <f t="shared" si="602"/>
        <v>0.60852472584316164</v>
      </c>
      <c r="R1152" s="206"/>
    </row>
    <row r="1153" spans="1:26" ht="14.1" customHeight="1" x14ac:dyDescent="0.2">
      <c r="A1153" s="164" t="s">
        <v>698</v>
      </c>
      <c r="B1153" s="147"/>
      <c r="C1153" s="148" t="s">
        <v>371</v>
      </c>
      <c r="D1153" s="149">
        <v>63421</v>
      </c>
      <c r="E1153" s="150"/>
      <c r="F1153" s="137">
        <f>+E1153+D1153</f>
        <v>63421</v>
      </c>
      <c r="G1153" s="137">
        <v>0</v>
      </c>
      <c r="H1153" s="137">
        <f>+H1154</f>
        <v>63421</v>
      </c>
      <c r="I1153" s="151">
        <f>+I1154</f>
        <v>50691</v>
      </c>
      <c r="J1153" s="152">
        <f>+J1154</f>
        <v>70646</v>
      </c>
      <c r="K1153" s="152">
        <f t="shared" ref="K1153:P1153" si="623">+K1154</f>
        <v>0</v>
      </c>
      <c r="L1153" s="152">
        <f t="shared" si="623"/>
        <v>70646</v>
      </c>
      <c r="M1153" s="152">
        <f t="shared" si="623"/>
        <v>0</v>
      </c>
      <c r="N1153" s="152">
        <f t="shared" si="623"/>
        <v>70646</v>
      </c>
      <c r="O1153" s="152">
        <f t="shared" si="623"/>
        <v>57431</v>
      </c>
      <c r="P1153" s="152">
        <f t="shared" si="623"/>
        <v>83170</v>
      </c>
      <c r="Q1153" s="87">
        <f t="shared" si="602"/>
        <v>0.17727826062338986</v>
      </c>
      <c r="R1153" s="203"/>
    </row>
    <row r="1154" spans="1:26" ht="14.1" customHeight="1" x14ac:dyDescent="0.2">
      <c r="A1154" s="89"/>
      <c r="B1154" s="95" t="s">
        <v>101</v>
      </c>
      <c r="C1154" s="96" t="s">
        <v>146</v>
      </c>
      <c r="D1154" s="43">
        <v>63421</v>
      </c>
      <c r="E1154" s="71"/>
      <c r="F1154" s="72">
        <v>63421</v>
      </c>
      <c r="G1154" s="72"/>
      <c r="H1154" s="72">
        <v>63421</v>
      </c>
      <c r="I1154" s="71">
        <v>50691</v>
      </c>
      <c r="J1154" s="73">
        <v>70646</v>
      </c>
      <c r="K1154" s="74"/>
      <c r="L1154" s="140">
        <f>+K1154+J1154</f>
        <v>70646</v>
      </c>
      <c r="M1154" s="140"/>
      <c r="N1154" s="140">
        <f t="shared" ref="N1154" si="624">+M1154+L1154</f>
        <v>70646</v>
      </c>
      <c r="O1154" s="140">
        <v>57431</v>
      </c>
      <c r="P1154" s="67">
        <v>83170</v>
      </c>
      <c r="Q1154" s="87">
        <f t="shared" si="602"/>
        <v>0.17727826062338986</v>
      </c>
      <c r="R1154" s="204" t="s">
        <v>1010</v>
      </c>
      <c r="T1154" s="56" t="s">
        <v>1365</v>
      </c>
    </row>
    <row r="1155" spans="1:26" ht="14.1" customHeight="1" x14ac:dyDescent="0.2">
      <c r="A1155" s="146" t="s">
        <v>700</v>
      </c>
      <c r="B1155" s="147"/>
      <c r="C1155" s="148" t="s">
        <v>372</v>
      </c>
      <c r="D1155" s="149">
        <v>131354</v>
      </c>
      <c r="E1155" s="150">
        <f>+E1156+E1157</f>
        <v>2382</v>
      </c>
      <c r="F1155" s="137">
        <f t="shared" ref="F1155:F1185" si="625">+E1155+D1155</f>
        <v>133736</v>
      </c>
      <c r="G1155" s="137">
        <f>+G1156+G1157</f>
        <v>1171</v>
      </c>
      <c r="H1155" s="137">
        <f>+H1156+H1157</f>
        <v>134907</v>
      </c>
      <c r="I1155" s="151">
        <f>+I1156+I1157</f>
        <v>75355</v>
      </c>
      <c r="J1155" s="152">
        <f>+J1156+J1157</f>
        <v>171215</v>
      </c>
      <c r="K1155" s="152">
        <f t="shared" ref="K1155:L1155" si="626">+K1156+K1157</f>
        <v>-6500</v>
      </c>
      <c r="L1155" s="152">
        <f t="shared" si="626"/>
        <v>164715</v>
      </c>
      <c r="M1155" s="152">
        <f t="shared" ref="M1155:N1155" si="627">+M1156+M1157</f>
        <v>11846</v>
      </c>
      <c r="N1155" s="152">
        <f t="shared" si="627"/>
        <v>176561</v>
      </c>
      <c r="O1155" s="152">
        <f t="shared" ref="O1155:P1155" si="628">+O1156+O1157</f>
        <v>132326</v>
      </c>
      <c r="P1155" s="152">
        <f t="shared" si="628"/>
        <v>229892</v>
      </c>
      <c r="Q1155" s="87">
        <f t="shared" si="602"/>
        <v>0.30205424754051008</v>
      </c>
      <c r="R1155" s="203" t="s">
        <v>1516</v>
      </c>
    </row>
    <row r="1156" spans="1:26" ht="14.1" customHeight="1" x14ac:dyDescent="0.2">
      <c r="A1156" s="89"/>
      <c r="B1156" s="95" t="s">
        <v>101</v>
      </c>
      <c r="C1156" s="96" t="s">
        <v>102</v>
      </c>
      <c r="D1156" s="43">
        <v>89954</v>
      </c>
      <c r="E1156" s="71"/>
      <c r="F1156" s="98">
        <f t="shared" si="625"/>
        <v>89954</v>
      </c>
      <c r="G1156" s="98"/>
      <c r="H1156" s="98">
        <f>+G1156+F1156</f>
        <v>89954</v>
      </c>
      <c r="I1156" s="97">
        <v>49275</v>
      </c>
      <c r="J1156" s="99">
        <v>102985</v>
      </c>
      <c r="K1156" s="98">
        <v>0</v>
      </c>
      <c r="L1156" s="182">
        <f>+K1156+J1156</f>
        <v>102985</v>
      </c>
      <c r="M1156" s="230">
        <f>2286+2500+5060</f>
        <v>9846</v>
      </c>
      <c r="N1156" s="182">
        <f t="shared" ref="N1156:N1171" si="629">+M1156+L1156</f>
        <v>112831</v>
      </c>
      <c r="O1156" s="182">
        <v>81313</v>
      </c>
      <c r="P1156" s="78">
        <v>159548</v>
      </c>
      <c r="Q1156" s="87">
        <f t="shared" si="602"/>
        <v>0.41404401272699881</v>
      </c>
      <c r="R1156" s="206" t="s">
        <v>1514</v>
      </c>
    </row>
    <row r="1157" spans="1:26" ht="14.1" customHeight="1" x14ac:dyDescent="0.2">
      <c r="A1157" s="89"/>
      <c r="B1157" s="95">
        <v>55</v>
      </c>
      <c r="C1157" s="96" t="s">
        <v>104</v>
      </c>
      <c r="D1157" s="102">
        <v>41400</v>
      </c>
      <c r="E1157" s="71">
        <f>+E1158+E1159+E1160+E1161+E1172+E1173+E1174+E1176+E1177+E1178+E1179+E1180</f>
        <v>2382</v>
      </c>
      <c r="F1157" s="98">
        <f t="shared" si="625"/>
        <v>43782</v>
      </c>
      <c r="G1157" s="98">
        <v>1171</v>
      </c>
      <c r="H1157" s="98">
        <f t="shared" ref="H1157:H1180" si="630">+G1157+F1157</f>
        <v>44953</v>
      </c>
      <c r="I1157" s="97">
        <f>+I1158+I1159+I1160+I1161+I1172+I1173+I1174+I1176+I1177+I1178+I1179+I1180</f>
        <v>26080</v>
      </c>
      <c r="J1157" s="99">
        <f>+J1158+J1159+J1160+J1161+J1172+J1173+J1174+J1176+J1177+J1178+J1179+J1180</f>
        <v>68230</v>
      </c>
      <c r="K1157" s="99">
        <f>+K1158+K1159+K1160+K1161+K1172+K1173+K1174+K1176+K1177+K1178+K1179+K1180</f>
        <v>-6500</v>
      </c>
      <c r="L1157" s="170">
        <f>+L1158+L1159+L1160+L1161+L1172+L1173+L1174+L1176+L1177+L1178+L1179+L1180</f>
        <v>61730</v>
      </c>
      <c r="M1157" s="170">
        <f t="shared" ref="M1157:N1157" si="631">+M1158+M1159+M1160+M1161+M1172+M1173+M1174+M1176+M1177+M1178+M1179+M1180</f>
        <v>2000</v>
      </c>
      <c r="N1157" s="170">
        <f t="shared" si="631"/>
        <v>63730</v>
      </c>
      <c r="O1157" s="170">
        <f t="shared" ref="O1157" si="632">+O1158+O1159+O1160+O1161+O1172+O1173+O1174+O1176+O1177+O1178+O1179+O1180</f>
        <v>51013</v>
      </c>
      <c r="P1157" s="170">
        <f>+P1158+P1159+P1160+P1161+P1172+P1173+P1174+P1176+P1177+P1178+P1179+P1180+P1175</f>
        <v>70344</v>
      </c>
      <c r="Q1157" s="87">
        <f t="shared" si="602"/>
        <v>0.10378157853444218</v>
      </c>
      <c r="R1157" s="203"/>
    </row>
    <row r="1158" spans="1:26" ht="14.1" customHeight="1" x14ac:dyDescent="0.2">
      <c r="A1158" s="89"/>
      <c r="B1158" s="90">
        <v>5500</v>
      </c>
      <c r="C1158" s="72" t="s">
        <v>115</v>
      </c>
      <c r="D1158" s="102">
        <v>3200</v>
      </c>
      <c r="E1158" s="71"/>
      <c r="F1158" s="74">
        <f t="shared" si="625"/>
        <v>3200</v>
      </c>
      <c r="G1158" s="74"/>
      <c r="H1158" s="74">
        <f t="shared" si="630"/>
        <v>3200</v>
      </c>
      <c r="I1158" s="71">
        <v>2137</v>
      </c>
      <c r="J1158" s="73">
        <v>3900</v>
      </c>
      <c r="K1158" s="74"/>
      <c r="L1158" s="74">
        <f t="shared" ref="L1158:L1180" si="633">+K1158+J1158</f>
        <v>3900</v>
      </c>
      <c r="M1158" s="74"/>
      <c r="N1158" s="74">
        <f t="shared" si="629"/>
        <v>3900</v>
      </c>
      <c r="O1158" s="74">
        <v>3022</v>
      </c>
      <c r="P1158" s="67">
        <v>4100</v>
      </c>
      <c r="Q1158" s="87">
        <f t="shared" si="602"/>
        <v>5.128205128205128E-2</v>
      </c>
      <c r="R1158" s="203"/>
    </row>
    <row r="1159" spans="1:26" ht="14.1" customHeight="1" x14ac:dyDescent="0.2">
      <c r="A1159" s="89"/>
      <c r="B1159" s="90">
        <v>5503</v>
      </c>
      <c r="C1159" s="72" t="s">
        <v>107</v>
      </c>
      <c r="D1159" s="102">
        <v>200</v>
      </c>
      <c r="E1159" s="71"/>
      <c r="F1159" s="74">
        <f t="shared" si="625"/>
        <v>200</v>
      </c>
      <c r="G1159" s="74"/>
      <c r="H1159" s="74">
        <f t="shared" si="630"/>
        <v>200</v>
      </c>
      <c r="I1159" s="71"/>
      <c r="J1159" s="73">
        <v>0</v>
      </c>
      <c r="K1159" s="74"/>
      <c r="L1159" s="74">
        <f t="shared" si="633"/>
        <v>0</v>
      </c>
      <c r="M1159" s="74"/>
      <c r="N1159" s="74">
        <f t="shared" si="629"/>
        <v>0</v>
      </c>
      <c r="O1159" s="74"/>
      <c r="P1159" s="67">
        <v>300</v>
      </c>
      <c r="Q1159" s="87" t="e">
        <f t="shared" si="602"/>
        <v>#DIV/0!</v>
      </c>
      <c r="R1159" s="203"/>
    </row>
    <row r="1160" spans="1:26" ht="14.1" customHeight="1" x14ac:dyDescent="0.2">
      <c r="A1160" s="89"/>
      <c r="B1160" s="90">
        <v>5504</v>
      </c>
      <c r="C1160" s="72" t="s">
        <v>118</v>
      </c>
      <c r="D1160" s="102">
        <v>800</v>
      </c>
      <c r="E1160" s="71"/>
      <c r="F1160" s="74">
        <f t="shared" si="625"/>
        <v>800</v>
      </c>
      <c r="G1160" s="74"/>
      <c r="H1160" s="74">
        <f t="shared" si="630"/>
        <v>800</v>
      </c>
      <c r="I1160" s="71">
        <v>492</v>
      </c>
      <c r="J1160" s="73">
        <v>1000</v>
      </c>
      <c r="K1160" s="74"/>
      <c r="L1160" s="74">
        <f t="shared" si="633"/>
        <v>1000</v>
      </c>
      <c r="M1160" s="74"/>
      <c r="N1160" s="74">
        <f t="shared" si="629"/>
        <v>1000</v>
      </c>
      <c r="O1160" s="74">
        <v>1403</v>
      </c>
      <c r="P1160" s="67">
        <v>1200</v>
      </c>
      <c r="Q1160" s="87">
        <f t="shared" si="602"/>
        <v>0.2</v>
      </c>
      <c r="R1160" s="203"/>
      <c r="Z1160" s="49"/>
    </row>
    <row r="1161" spans="1:26" ht="14.1" customHeight="1" x14ac:dyDescent="0.2">
      <c r="A1161" s="89"/>
      <c r="B1161" s="90">
        <v>5511</v>
      </c>
      <c r="C1161" s="72" t="s">
        <v>110</v>
      </c>
      <c r="D1161" s="102">
        <v>20400</v>
      </c>
      <c r="E1161" s="71"/>
      <c r="F1161" s="74">
        <f t="shared" si="625"/>
        <v>20400</v>
      </c>
      <c r="G1161" s="74"/>
      <c r="H1161" s="74">
        <f t="shared" si="630"/>
        <v>20400</v>
      </c>
      <c r="I1161" s="71">
        <f>+I1162+I1163+I1164+I1165+I1166+I1167+I1168+I1169+I1170+I1171</f>
        <v>10826</v>
      </c>
      <c r="J1161" s="73">
        <f>SUM(J1162:J1171)</f>
        <v>22900</v>
      </c>
      <c r="K1161" s="73">
        <f>SUM(K1162:K1171)</f>
        <v>-3000</v>
      </c>
      <c r="L1161" s="74">
        <f>SUM(L1162:L1171)</f>
        <v>19900</v>
      </c>
      <c r="M1161" s="74">
        <f t="shared" ref="M1161:O1161" si="634">SUM(M1162:M1171)</f>
        <v>0</v>
      </c>
      <c r="N1161" s="74">
        <f t="shared" si="634"/>
        <v>19900</v>
      </c>
      <c r="O1161" s="74">
        <f t="shared" si="634"/>
        <v>11481</v>
      </c>
      <c r="P1161" s="67">
        <f t="shared" ref="P1161" si="635">SUM(P1162:P1171)</f>
        <v>28364</v>
      </c>
      <c r="Q1161" s="87">
        <f t="shared" si="602"/>
        <v>0.42532663316582914</v>
      </c>
      <c r="R1161" s="206"/>
      <c r="Z1161" s="49"/>
    </row>
    <row r="1162" spans="1:26" ht="14.1" customHeight="1" x14ac:dyDescent="0.2">
      <c r="A1162" s="89"/>
      <c r="B1162" s="90"/>
      <c r="C1162" s="154" t="s">
        <v>223</v>
      </c>
      <c r="D1162" s="157">
        <v>2500</v>
      </c>
      <c r="E1162" s="158"/>
      <c r="F1162" s="153">
        <f t="shared" si="625"/>
        <v>2500</v>
      </c>
      <c r="G1162" s="153"/>
      <c r="H1162" s="153">
        <f t="shared" si="630"/>
        <v>2500</v>
      </c>
      <c r="I1162" s="238">
        <v>2207</v>
      </c>
      <c r="J1162" s="159">
        <v>3000</v>
      </c>
      <c r="K1162" s="153"/>
      <c r="L1162" s="153">
        <f t="shared" si="633"/>
        <v>3000</v>
      </c>
      <c r="M1162" s="153"/>
      <c r="N1162" s="153">
        <f t="shared" si="629"/>
        <v>3000</v>
      </c>
      <c r="O1162" s="153">
        <v>843</v>
      </c>
      <c r="P1162" s="155">
        <v>2000</v>
      </c>
      <c r="Q1162" s="87">
        <f t="shared" si="602"/>
        <v>-0.33333333333333331</v>
      </c>
      <c r="R1162" s="206"/>
      <c r="Z1162" s="49"/>
    </row>
    <row r="1163" spans="1:26" ht="14.1" customHeight="1" x14ac:dyDescent="0.2">
      <c r="A1163" s="89"/>
      <c r="B1163" s="90"/>
      <c r="C1163" s="154" t="s">
        <v>224</v>
      </c>
      <c r="D1163" s="157">
        <v>8000</v>
      </c>
      <c r="E1163" s="158"/>
      <c r="F1163" s="153">
        <f t="shared" si="625"/>
        <v>8000</v>
      </c>
      <c r="G1163" s="153"/>
      <c r="H1163" s="153">
        <f t="shared" si="630"/>
        <v>8000</v>
      </c>
      <c r="I1163" s="238">
        <v>5333</v>
      </c>
      <c r="J1163" s="159">
        <v>9600</v>
      </c>
      <c r="K1163" s="153"/>
      <c r="L1163" s="153">
        <f t="shared" si="633"/>
        <v>9600</v>
      </c>
      <c r="M1163" s="153"/>
      <c r="N1163" s="153">
        <f t="shared" si="629"/>
        <v>9600</v>
      </c>
      <c r="O1163" s="153">
        <v>7813</v>
      </c>
      <c r="P1163" s="155">
        <v>13000</v>
      </c>
      <c r="Q1163" s="87">
        <f t="shared" si="602"/>
        <v>0.35416666666666669</v>
      </c>
      <c r="R1163" s="206"/>
      <c r="Z1163" s="49"/>
    </row>
    <row r="1164" spans="1:26" ht="14.1" customHeight="1" x14ac:dyDescent="0.2">
      <c r="A1164" s="89"/>
      <c r="B1164" s="90"/>
      <c r="C1164" s="154" t="s">
        <v>225</v>
      </c>
      <c r="D1164" s="157">
        <v>500</v>
      </c>
      <c r="E1164" s="158"/>
      <c r="F1164" s="153">
        <f t="shared" si="625"/>
        <v>500</v>
      </c>
      <c r="G1164" s="153"/>
      <c r="H1164" s="153">
        <f t="shared" si="630"/>
        <v>500</v>
      </c>
      <c r="I1164" s="238">
        <v>186</v>
      </c>
      <c r="J1164" s="159">
        <v>500</v>
      </c>
      <c r="K1164" s="153"/>
      <c r="L1164" s="153">
        <f t="shared" si="633"/>
        <v>500</v>
      </c>
      <c r="M1164" s="153"/>
      <c r="N1164" s="153">
        <f t="shared" si="629"/>
        <v>500</v>
      </c>
      <c r="O1164" s="153">
        <v>349</v>
      </c>
      <c r="P1164" s="155">
        <v>500</v>
      </c>
      <c r="Q1164" s="87">
        <f t="shared" si="602"/>
        <v>0</v>
      </c>
      <c r="R1164" s="206"/>
      <c r="Z1164" s="49"/>
    </row>
    <row r="1165" spans="1:26" ht="14.1" customHeight="1" x14ac:dyDescent="0.2">
      <c r="A1165" s="89"/>
      <c r="B1165" s="90"/>
      <c r="C1165" s="154" t="s">
        <v>367</v>
      </c>
      <c r="D1165" s="157">
        <v>1000</v>
      </c>
      <c r="E1165" s="158"/>
      <c r="F1165" s="153">
        <f t="shared" si="625"/>
        <v>1000</v>
      </c>
      <c r="G1165" s="153"/>
      <c r="H1165" s="153">
        <f t="shared" si="630"/>
        <v>1000</v>
      </c>
      <c r="I1165" s="238">
        <v>1030</v>
      </c>
      <c r="J1165" s="159">
        <v>1000</v>
      </c>
      <c r="K1165" s="153"/>
      <c r="L1165" s="153">
        <f t="shared" si="633"/>
        <v>1000</v>
      </c>
      <c r="M1165" s="153"/>
      <c r="N1165" s="153">
        <f t="shared" si="629"/>
        <v>1000</v>
      </c>
      <c r="O1165" s="153">
        <v>864</v>
      </c>
      <c r="P1165" s="155">
        <v>1100</v>
      </c>
      <c r="Q1165" s="87">
        <f t="shared" si="602"/>
        <v>0.1</v>
      </c>
      <c r="R1165" s="206"/>
      <c r="Z1165" s="49"/>
    </row>
    <row r="1166" spans="1:26" ht="14.1" customHeight="1" x14ac:dyDescent="0.2">
      <c r="A1166" s="89"/>
      <c r="B1166" s="90"/>
      <c r="C1166" s="154" t="s">
        <v>227</v>
      </c>
      <c r="D1166" s="157">
        <v>700</v>
      </c>
      <c r="E1166" s="158"/>
      <c r="F1166" s="153">
        <f t="shared" si="625"/>
        <v>700</v>
      </c>
      <c r="G1166" s="153"/>
      <c r="H1166" s="153">
        <f t="shared" si="630"/>
        <v>700</v>
      </c>
      <c r="I1166" s="238">
        <v>754</v>
      </c>
      <c r="J1166" s="159">
        <v>700</v>
      </c>
      <c r="K1166" s="153"/>
      <c r="L1166" s="153">
        <f t="shared" si="633"/>
        <v>700</v>
      </c>
      <c r="M1166" s="153"/>
      <c r="N1166" s="153">
        <f t="shared" si="629"/>
        <v>700</v>
      </c>
      <c r="O1166" s="153">
        <v>576</v>
      </c>
      <c r="P1166" s="155">
        <v>700</v>
      </c>
      <c r="Q1166" s="87">
        <f t="shared" si="602"/>
        <v>0</v>
      </c>
      <c r="R1166" s="206"/>
      <c r="Z1166" s="49"/>
    </row>
    <row r="1167" spans="1:26" ht="14.1" customHeight="1" x14ac:dyDescent="0.2">
      <c r="A1167" s="89"/>
      <c r="B1167" s="90"/>
      <c r="C1167" s="154" t="s">
        <v>228</v>
      </c>
      <c r="D1167" s="157">
        <v>600</v>
      </c>
      <c r="E1167" s="158"/>
      <c r="F1167" s="153">
        <f t="shared" si="625"/>
        <v>600</v>
      </c>
      <c r="G1167" s="153"/>
      <c r="H1167" s="153">
        <f t="shared" si="630"/>
        <v>600</v>
      </c>
      <c r="I1167" s="238">
        <v>495</v>
      </c>
      <c r="J1167" s="159">
        <v>3600</v>
      </c>
      <c r="K1167" s="153">
        <v>-3000</v>
      </c>
      <c r="L1167" s="153">
        <f t="shared" si="633"/>
        <v>600</v>
      </c>
      <c r="M1167" s="153"/>
      <c r="N1167" s="153">
        <f t="shared" si="629"/>
        <v>600</v>
      </c>
      <c r="O1167" s="153">
        <v>863</v>
      </c>
      <c r="P1167" s="155">
        <v>950</v>
      </c>
      <c r="Q1167" s="87">
        <f t="shared" si="602"/>
        <v>0.58333333333333337</v>
      </c>
      <c r="R1167" s="206"/>
      <c r="Z1167" s="49"/>
    </row>
    <row r="1168" spans="1:26" ht="14.1" customHeight="1" x14ac:dyDescent="0.2">
      <c r="A1168" s="89"/>
      <c r="B1168" s="90"/>
      <c r="C1168" s="154" t="s">
        <v>230</v>
      </c>
      <c r="D1168" s="157">
        <v>6600</v>
      </c>
      <c r="E1168" s="158"/>
      <c r="F1168" s="153">
        <f t="shared" si="625"/>
        <v>6600</v>
      </c>
      <c r="G1168" s="153"/>
      <c r="H1168" s="153">
        <f t="shared" si="630"/>
        <v>6600</v>
      </c>
      <c r="I1168" s="238">
        <v>470</v>
      </c>
      <c r="J1168" s="159">
        <v>4000</v>
      </c>
      <c r="K1168" s="153"/>
      <c r="L1168" s="153">
        <f t="shared" si="633"/>
        <v>4000</v>
      </c>
      <c r="M1168" s="153"/>
      <c r="N1168" s="153">
        <f t="shared" si="629"/>
        <v>4000</v>
      </c>
      <c r="O1168" s="153"/>
      <c r="P1168" s="217">
        <v>10000</v>
      </c>
      <c r="Q1168" s="218">
        <f t="shared" si="602"/>
        <v>1.5</v>
      </c>
      <c r="R1168" s="206" t="s">
        <v>1366</v>
      </c>
      <c r="Z1168" s="49"/>
    </row>
    <row r="1169" spans="1:26" ht="14.1" customHeight="1" x14ac:dyDescent="0.2">
      <c r="A1169" s="89"/>
      <c r="B1169" s="90"/>
      <c r="C1169" s="154" t="s">
        <v>231</v>
      </c>
      <c r="D1169" s="157">
        <v>500</v>
      </c>
      <c r="E1169" s="158"/>
      <c r="F1169" s="153">
        <f t="shared" si="625"/>
        <v>500</v>
      </c>
      <c r="G1169" s="153"/>
      <c r="H1169" s="153">
        <f t="shared" si="630"/>
        <v>500</v>
      </c>
      <c r="I1169" s="158">
        <v>101</v>
      </c>
      <c r="J1169" s="159">
        <v>500</v>
      </c>
      <c r="K1169" s="153"/>
      <c r="L1169" s="153">
        <f t="shared" si="633"/>
        <v>500</v>
      </c>
      <c r="M1169" s="153"/>
      <c r="N1169" s="153">
        <f t="shared" si="629"/>
        <v>500</v>
      </c>
      <c r="O1169" s="153">
        <v>114</v>
      </c>
      <c r="P1169" s="155">
        <v>114</v>
      </c>
      <c r="Q1169" s="87">
        <f t="shared" si="602"/>
        <v>-0.77200000000000002</v>
      </c>
      <c r="R1169" s="206"/>
      <c r="Z1169" s="49"/>
    </row>
    <row r="1170" spans="1:26" ht="14.1" customHeight="1" x14ac:dyDescent="0.2">
      <c r="A1170" s="89"/>
      <c r="B1170" s="90"/>
      <c r="C1170" s="154" t="s">
        <v>229</v>
      </c>
      <c r="D1170" s="157">
        <v>0</v>
      </c>
      <c r="E1170" s="158"/>
      <c r="F1170" s="153">
        <f t="shared" si="625"/>
        <v>0</v>
      </c>
      <c r="G1170" s="153"/>
      <c r="H1170" s="153">
        <f t="shared" si="630"/>
        <v>0</v>
      </c>
      <c r="I1170" s="158"/>
      <c r="J1170" s="159">
        <v>0</v>
      </c>
      <c r="K1170" s="153"/>
      <c r="L1170" s="153">
        <f t="shared" si="633"/>
        <v>0</v>
      </c>
      <c r="M1170" s="153"/>
      <c r="N1170" s="153">
        <f t="shared" si="629"/>
        <v>0</v>
      </c>
      <c r="O1170" s="153"/>
      <c r="P1170" s="155">
        <f>+N1170+M1170</f>
        <v>0</v>
      </c>
      <c r="Q1170" s="87" t="e">
        <f t="shared" si="602"/>
        <v>#DIV/0!</v>
      </c>
      <c r="R1170" s="203"/>
    </row>
    <row r="1171" spans="1:26" ht="14.1" customHeight="1" x14ac:dyDescent="0.2">
      <c r="A1171" s="89"/>
      <c r="B1171" s="90"/>
      <c r="C1171" s="154" t="s">
        <v>232</v>
      </c>
      <c r="D1171" s="157">
        <v>0</v>
      </c>
      <c r="E1171" s="71"/>
      <c r="F1171" s="74">
        <f t="shared" si="625"/>
        <v>0</v>
      </c>
      <c r="G1171" s="74"/>
      <c r="H1171" s="74">
        <f t="shared" si="630"/>
        <v>0</v>
      </c>
      <c r="I1171" s="71">
        <v>250</v>
      </c>
      <c r="J1171" s="73"/>
      <c r="K1171" s="74"/>
      <c r="L1171" s="153">
        <f t="shared" si="633"/>
        <v>0</v>
      </c>
      <c r="M1171" s="153"/>
      <c r="N1171" s="153">
        <f t="shared" si="629"/>
        <v>0</v>
      </c>
      <c r="O1171" s="153">
        <v>59</v>
      </c>
      <c r="P1171" s="155">
        <v>0</v>
      </c>
      <c r="Q1171" s="87" t="e">
        <f t="shared" si="602"/>
        <v>#DIV/0!</v>
      </c>
      <c r="R1171" s="203"/>
    </row>
    <row r="1172" spans="1:26" ht="14.1" customHeight="1" x14ac:dyDescent="0.2">
      <c r="A1172" s="89"/>
      <c r="B1172" s="90">
        <v>5513</v>
      </c>
      <c r="C1172" s="72" t="s">
        <v>309</v>
      </c>
      <c r="D1172" s="102">
        <v>2100</v>
      </c>
      <c r="E1172" s="71"/>
      <c r="F1172" s="74">
        <f t="shared" si="625"/>
        <v>2100</v>
      </c>
      <c r="G1172" s="74"/>
      <c r="H1172" s="74">
        <f t="shared" si="630"/>
        <v>2100</v>
      </c>
      <c r="I1172" s="71">
        <v>1440</v>
      </c>
      <c r="J1172" s="73">
        <v>17580</v>
      </c>
      <c r="K1172" s="74"/>
      <c r="L1172" s="74">
        <f t="shared" si="633"/>
        <v>17580</v>
      </c>
      <c r="M1172" s="74"/>
      <c r="N1172" s="74">
        <f t="shared" ref="N1172:N1180" si="636">+M1172+L1172</f>
        <v>17580</v>
      </c>
      <c r="O1172" s="74">
        <v>10379</v>
      </c>
      <c r="P1172" s="67">
        <v>12580</v>
      </c>
      <c r="Q1172" s="87">
        <f t="shared" si="602"/>
        <v>-0.2844141069397042</v>
      </c>
      <c r="R1172" s="206"/>
    </row>
    <row r="1173" spans="1:26" ht="14.1" customHeight="1" x14ac:dyDescent="0.2">
      <c r="A1173" s="89"/>
      <c r="B1173" s="90">
        <v>5514</v>
      </c>
      <c r="C1173" s="72" t="s">
        <v>112</v>
      </c>
      <c r="D1173" s="102">
        <v>3200</v>
      </c>
      <c r="E1173" s="71"/>
      <c r="F1173" s="74">
        <f t="shared" si="625"/>
        <v>3200</v>
      </c>
      <c r="G1173" s="74"/>
      <c r="H1173" s="74">
        <f t="shared" si="630"/>
        <v>3200</v>
      </c>
      <c r="I1173" s="71">
        <v>3968</v>
      </c>
      <c r="J1173" s="73">
        <v>10500</v>
      </c>
      <c r="K1173" s="74"/>
      <c r="L1173" s="74">
        <f t="shared" si="633"/>
        <v>10500</v>
      </c>
      <c r="M1173" s="92">
        <v>2000</v>
      </c>
      <c r="N1173" s="74">
        <f t="shared" si="636"/>
        <v>12500</v>
      </c>
      <c r="O1173" s="74">
        <v>14345</v>
      </c>
      <c r="P1173" s="67">
        <v>5000</v>
      </c>
      <c r="Q1173" s="87">
        <f t="shared" si="602"/>
        <v>-0.6</v>
      </c>
      <c r="R1173" s="203" t="s">
        <v>1013</v>
      </c>
    </row>
    <row r="1174" spans="1:26" ht="14.1" customHeight="1" x14ac:dyDescent="0.2">
      <c r="A1174" s="89"/>
      <c r="B1174" s="90">
        <v>5515</v>
      </c>
      <c r="C1174" s="72" t="s">
        <v>133</v>
      </c>
      <c r="D1174" s="102">
        <v>4000</v>
      </c>
      <c r="E1174" s="71"/>
      <c r="F1174" s="74">
        <f t="shared" si="625"/>
        <v>4000</v>
      </c>
      <c r="G1174" s="74">
        <v>1171</v>
      </c>
      <c r="H1174" s="74">
        <f t="shared" si="630"/>
        <v>5171</v>
      </c>
      <c r="I1174" s="71">
        <v>3119</v>
      </c>
      <c r="J1174" s="73">
        <v>3600</v>
      </c>
      <c r="K1174" s="74">
        <v>-3500</v>
      </c>
      <c r="L1174" s="74">
        <f t="shared" si="633"/>
        <v>100</v>
      </c>
      <c r="M1174" s="74"/>
      <c r="N1174" s="74">
        <f t="shared" si="636"/>
        <v>100</v>
      </c>
      <c r="O1174" s="74">
        <v>3413</v>
      </c>
      <c r="P1174" s="67">
        <v>7000</v>
      </c>
      <c r="Q1174" s="87">
        <f t="shared" si="602"/>
        <v>69</v>
      </c>
      <c r="R1174" s="203" t="s">
        <v>1416</v>
      </c>
      <c r="S1174" s="108"/>
    </row>
    <row r="1175" spans="1:26" ht="14.1" customHeight="1" x14ac:dyDescent="0.2">
      <c r="A1175" s="89"/>
      <c r="B1175" s="90">
        <v>5516</v>
      </c>
      <c r="C1175" s="72" t="s">
        <v>989</v>
      </c>
      <c r="D1175" s="102"/>
      <c r="E1175" s="71"/>
      <c r="F1175" s="74"/>
      <c r="G1175" s="74"/>
      <c r="H1175" s="74"/>
      <c r="I1175" s="71"/>
      <c r="J1175" s="73"/>
      <c r="K1175" s="74"/>
      <c r="L1175" s="74"/>
      <c r="M1175" s="74"/>
      <c r="N1175" s="74"/>
      <c r="O1175" s="74"/>
      <c r="P1175" s="67">
        <v>2000</v>
      </c>
      <c r="Q1175" s="87"/>
      <c r="R1175" s="203" t="s">
        <v>1014</v>
      </c>
    </row>
    <row r="1176" spans="1:26" ht="14.1" customHeight="1" x14ac:dyDescent="0.2">
      <c r="A1176" s="89"/>
      <c r="B1176" s="90">
        <v>5522</v>
      </c>
      <c r="C1176" s="72" t="s">
        <v>137</v>
      </c>
      <c r="D1176" s="102">
        <v>500</v>
      </c>
      <c r="E1176" s="71"/>
      <c r="F1176" s="74">
        <f t="shared" si="625"/>
        <v>500</v>
      </c>
      <c r="G1176" s="74"/>
      <c r="H1176" s="74">
        <f t="shared" si="630"/>
        <v>500</v>
      </c>
      <c r="I1176" s="71">
        <v>104</v>
      </c>
      <c r="J1176" s="73">
        <v>750</v>
      </c>
      <c r="K1176" s="74"/>
      <c r="L1176" s="74">
        <f t="shared" si="633"/>
        <v>750</v>
      </c>
      <c r="M1176" s="74"/>
      <c r="N1176" s="74">
        <f t="shared" si="636"/>
        <v>750</v>
      </c>
      <c r="O1176" s="74">
        <v>150</v>
      </c>
      <c r="P1176" s="67">
        <v>900</v>
      </c>
      <c r="Q1176" s="87">
        <f t="shared" si="602"/>
        <v>0.2</v>
      </c>
      <c r="R1176" s="203"/>
    </row>
    <row r="1177" spans="1:26" ht="13.5" customHeight="1" x14ac:dyDescent="0.2">
      <c r="A1177" s="89"/>
      <c r="B1177" s="90">
        <v>5523</v>
      </c>
      <c r="C1177" s="72" t="s">
        <v>373</v>
      </c>
      <c r="D1177" s="102">
        <v>500</v>
      </c>
      <c r="E1177" s="71"/>
      <c r="F1177" s="74">
        <f t="shared" si="625"/>
        <v>500</v>
      </c>
      <c r="G1177" s="74"/>
      <c r="H1177" s="74">
        <f t="shared" si="630"/>
        <v>500</v>
      </c>
      <c r="I1177" s="71"/>
      <c r="J1177" s="73">
        <v>500</v>
      </c>
      <c r="K1177" s="74"/>
      <c r="L1177" s="74">
        <f t="shared" si="633"/>
        <v>500</v>
      </c>
      <c r="M1177" s="74"/>
      <c r="N1177" s="74">
        <f t="shared" si="636"/>
        <v>500</v>
      </c>
      <c r="O1177" s="74"/>
      <c r="P1177" s="67">
        <v>500</v>
      </c>
      <c r="Q1177" s="87">
        <f t="shared" si="602"/>
        <v>0</v>
      </c>
      <c r="R1177" s="203"/>
    </row>
    <row r="1178" spans="1:26" ht="13.5" customHeight="1" x14ac:dyDescent="0.2">
      <c r="A1178" s="89"/>
      <c r="B1178" s="90">
        <v>5524</v>
      </c>
      <c r="C1178" s="72" t="s">
        <v>345</v>
      </c>
      <c r="D1178" s="102">
        <v>3000</v>
      </c>
      <c r="E1178" s="71">
        <v>2382</v>
      </c>
      <c r="F1178" s="74">
        <f t="shared" si="625"/>
        <v>5382</v>
      </c>
      <c r="G1178" s="74"/>
      <c r="H1178" s="74">
        <f t="shared" si="630"/>
        <v>5382</v>
      </c>
      <c r="I1178" s="71">
        <v>2056</v>
      </c>
      <c r="J1178" s="73">
        <v>3500</v>
      </c>
      <c r="K1178" s="74"/>
      <c r="L1178" s="74">
        <f t="shared" si="633"/>
        <v>3500</v>
      </c>
      <c r="M1178" s="74"/>
      <c r="N1178" s="74">
        <f t="shared" si="636"/>
        <v>3500</v>
      </c>
      <c r="O1178" s="74">
        <v>3110</v>
      </c>
      <c r="P1178" s="67">
        <v>3900</v>
      </c>
      <c r="Q1178" s="87">
        <f t="shared" ref="Q1178:Q1242" si="637">(P1178-N1178)/N1178</f>
        <v>0.11428571428571428</v>
      </c>
      <c r="R1178" s="206"/>
    </row>
    <row r="1179" spans="1:26" ht="13.5" customHeight="1" x14ac:dyDescent="0.2">
      <c r="A1179" s="89"/>
      <c r="B1179" s="90">
        <v>5525</v>
      </c>
      <c r="C1179" s="72" t="s">
        <v>299</v>
      </c>
      <c r="D1179" s="102">
        <v>2000</v>
      </c>
      <c r="E1179" s="71"/>
      <c r="F1179" s="74">
        <f t="shared" si="625"/>
        <v>2000</v>
      </c>
      <c r="G1179" s="74"/>
      <c r="H1179" s="74">
        <f t="shared" si="630"/>
        <v>2000</v>
      </c>
      <c r="I1179" s="71">
        <v>1110</v>
      </c>
      <c r="J1179" s="73">
        <v>2500</v>
      </c>
      <c r="K1179" s="74"/>
      <c r="L1179" s="74">
        <f t="shared" si="633"/>
        <v>2500</v>
      </c>
      <c r="M1179" s="74"/>
      <c r="N1179" s="74">
        <f t="shared" si="636"/>
        <v>2500</v>
      </c>
      <c r="O1179" s="74">
        <v>2606</v>
      </c>
      <c r="P1179" s="67">
        <v>3000</v>
      </c>
      <c r="Q1179" s="87">
        <f t="shared" si="637"/>
        <v>0.2</v>
      </c>
      <c r="R1179" s="206"/>
    </row>
    <row r="1180" spans="1:26" ht="13.5" customHeight="1" x14ac:dyDescent="0.2">
      <c r="A1180" s="89"/>
      <c r="B1180" s="90">
        <v>5540</v>
      </c>
      <c r="C1180" s="72" t="s">
        <v>256</v>
      </c>
      <c r="D1180" s="102">
        <v>1500</v>
      </c>
      <c r="E1180" s="71"/>
      <c r="F1180" s="74">
        <f t="shared" si="625"/>
        <v>1500</v>
      </c>
      <c r="G1180" s="74"/>
      <c r="H1180" s="74">
        <f t="shared" si="630"/>
        <v>1500</v>
      </c>
      <c r="I1180" s="71">
        <v>828</v>
      </c>
      <c r="J1180" s="73">
        <v>1500</v>
      </c>
      <c r="K1180" s="74"/>
      <c r="L1180" s="74">
        <f t="shared" si="633"/>
        <v>1500</v>
      </c>
      <c r="M1180" s="74"/>
      <c r="N1180" s="74">
        <f t="shared" si="636"/>
        <v>1500</v>
      </c>
      <c r="O1180" s="74">
        <v>1104</v>
      </c>
      <c r="P1180" s="67">
        <f>+N1180+M1180</f>
        <v>1500</v>
      </c>
      <c r="Q1180" s="87">
        <f t="shared" si="637"/>
        <v>0</v>
      </c>
      <c r="R1180" s="206"/>
    </row>
    <row r="1181" spans="1:26" ht="14.1" customHeight="1" x14ac:dyDescent="0.2">
      <c r="A1181" s="146" t="s">
        <v>701</v>
      </c>
      <c r="B1181" s="147"/>
      <c r="C1181" s="148" t="s">
        <v>374</v>
      </c>
      <c r="D1181" s="149">
        <v>224532</v>
      </c>
      <c r="E1181" s="150"/>
      <c r="F1181" s="137">
        <f t="shared" si="625"/>
        <v>224532</v>
      </c>
      <c r="G1181" s="137">
        <v>0</v>
      </c>
      <c r="H1181" s="137">
        <f>+H1182+H1183</f>
        <v>224532</v>
      </c>
      <c r="I1181" s="151">
        <f>+I1182+I1183</f>
        <v>156286</v>
      </c>
      <c r="J1181" s="152">
        <f>+J1182+J1183</f>
        <v>224532</v>
      </c>
      <c r="K1181" s="152">
        <f t="shared" ref="K1181:L1181" si="638">+K1182+K1183</f>
        <v>-2060</v>
      </c>
      <c r="L1181" s="152">
        <f t="shared" si="638"/>
        <v>222472</v>
      </c>
      <c r="M1181" s="152">
        <f t="shared" ref="M1181:N1181" si="639">+M1182+M1183</f>
        <v>0</v>
      </c>
      <c r="N1181" s="152">
        <f t="shared" si="639"/>
        <v>222472</v>
      </c>
      <c r="O1181" s="152">
        <f t="shared" ref="O1181:P1181" si="640">+O1182+O1183</f>
        <v>154099</v>
      </c>
      <c r="P1181" s="152">
        <f t="shared" si="640"/>
        <v>296200</v>
      </c>
      <c r="Q1181" s="87">
        <f t="shared" si="637"/>
        <v>0.3314035024632313</v>
      </c>
      <c r="R1181" s="203"/>
    </row>
    <row r="1182" spans="1:26" ht="14.1" customHeight="1" x14ac:dyDescent="0.2">
      <c r="A1182" s="89"/>
      <c r="B1182" s="95" t="s">
        <v>101</v>
      </c>
      <c r="C1182" s="96" t="s">
        <v>102</v>
      </c>
      <c r="D1182" s="43">
        <v>221131</v>
      </c>
      <c r="E1182" s="71"/>
      <c r="F1182" s="98">
        <f t="shared" si="625"/>
        <v>221131</v>
      </c>
      <c r="G1182" s="98"/>
      <c r="H1182" s="98">
        <f>+G1182+F1182</f>
        <v>221131</v>
      </c>
      <c r="I1182" s="97">
        <v>152866</v>
      </c>
      <c r="J1182" s="73">
        <v>221131</v>
      </c>
      <c r="K1182" s="74">
        <v>-2442</v>
      </c>
      <c r="L1182" s="140">
        <f>+K1182+J1182</f>
        <v>218689</v>
      </c>
      <c r="M1182" s="140"/>
      <c r="N1182" s="140">
        <f t="shared" ref="N1182:N1186" si="641">+M1182+L1182</f>
        <v>218689</v>
      </c>
      <c r="O1182" s="140">
        <v>151465</v>
      </c>
      <c r="P1182" s="67">
        <v>292229</v>
      </c>
      <c r="Q1182" s="87">
        <f t="shared" si="637"/>
        <v>0.33627663028318755</v>
      </c>
      <c r="R1182" s="204" t="s">
        <v>1015</v>
      </c>
    </row>
    <row r="1183" spans="1:26" ht="14.1" customHeight="1" x14ac:dyDescent="0.2">
      <c r="A1183" s="89"/>
      <c r="B1183" s="95" t="s">
        <v>103</v>
      </c>
      <c r="C1183" s="96" t="s">
        <v>104</v>
      </c>
      <c r="D1183" s="43">
        <v>3401</v>
      </c>
      <c r="E1183" s="71"/>
      <c r="F1183" s="98">
        <f t="shared" si="625"/>
        <v>3401</v>
      </c>
      <c r="G1183" s="98"/>
      <c r="H1183" s="98">
        <f t="shared" ref="H1183:H1185" si="642">+G1183+F1183</f>
        <v>3401</v>
      </c>
      <c r="I1183" s="97">
        <f>+I1184+I1185</f>
        <v>3420</v>
      </c>
      <c r="J1183" s="73">
        <f>+J1184+J1185</f>
        <v>3401</v>
      </c>
      <c r="K1183" s="74">
        <f>+K1184+K1185+K1186</f>
        <v>382</v>
      </c>
      <c r="L1183" s="141">
        <f>+L1184+L1185+L1186</f>
        <v>3783</v>
      </c>
      <c r="M1183" s="141">
        <f t="shared" ref="M1183:N1183" si="643">+M1184+M1185+M1186</f>
        <v>0</v>
      </c>
      <c r="N1183" s="141">
        <f t="shared" si="643"/>
        <v>3783</v>
      </c>
      <c r="O1183" s="141">
        <f t="shared" ref="O1183" si="644">+O1184+O1185+O1186</f>
        <v>2634</v>
      </c>
      <c r="P1183" s="141">
        <f t="shared" ref="P1183" si="645">+P1184+P1185+P1186</f>
        <v>3971</v>
      </c>
      <c r="Q1183" s="87">
        <f t="shared" si="637"/>
        <v>4.9696008458895054E-2</v>
      </c>
      <c r="R1183" s="203"/>
      <c r="U1183" s="57"/>
    </row>
    <row r="1184" spans="1:26" ht="14.1" customHeight="1" x14ac:dyDescent="0.2">
      <c r="A1184" s="89"/>
      <c r="B1184" s="90">
        <v>5504</v>
      </c>
      <c r="C1184" s="72" t="s">
        <v>118</v>
      </c>
      <c r="D1184" s="102">
        <v>545</v>
      </c>
      <c r="E1184" s="71"/>
      <c r="F1184" s="74">
        <f t="shared" si="625"/>
        <v>545</v>
      </c>
      <c r="G1184" s="74"/>
      <c r="H1184" s="74">
        <f t="shared" si="642"/>
        <v>545</v>
      </c>
      <c r="I1184" s="71">
        <v>545</v>
      </c>
      <c r="J1184" s="73">
        <v>545</v>
      </c>
      <c r="K1184" s="74">
        <v>309</v>
      </c>
      <c r="L1184" s="74">
        <f t="shared" ref="L1184:L1186" si="646">+K1184+J1184</f>
        <v>854</v>
      </c>
      <c r="M1184" s="74"/>
      <c r="N1184" s="74">
        <f t="shared" si="641"/>
        <v>854</v>
      </c>
      <c r="O1184" s="74">
        <v>854</v>
      </c>
      <c r="P1184" s="67">
        <v>576</v>
      </c>
      <c r="Q1184" s="87">
        <f t="shared" si="637"/>
        <v>-0.32552693208430911</v>
      </c>
      <c r="R1184" s="206"/>
    </row>
    <row r="1185" spans="1:21" ht="14.1" customHeight="1" x14ac:dyDescent="0.2">
      <c r="A1185" s="89"/>
      <c r="B1185" s="90">
        <v>5524</v>
      </c>
      <c r="C1185" s="72" t="s">
        <v>375</v>
      </c>
      <c r="D1185" s="102">
        <v>2856</v>
      </c>
      <c r="E1185" s="71"/>
      <c r="F1185" s="74">
        <f t="shared" si="625"/>
        <v>2856</v>
      </c>
      <c r="G1185" s="74"/>
      <c r="H1185" s="74">
        <f t="shared" si="642"/>
        <v>2856</v>
      </c>
      <c r="I1185" s="71">
        <v>2875</v>
      </c>
      <c r="J1185" s="73">
        <v>2856</v>
      </c>
      <c r="K1185" s="74">
        <v>-279</v>
      </c>
      <c r="L1185" s="74">
        <f t="shared" si="646"/>
        <v>2577</v>
      </c>
      <c r="M1185" s="74"/>
      <c r="N1185" s="74">
        <f t="shared" si="641"/>
        <v>2577</v>
      </c>
      <c r="O1185" s="74">
        <v>1138</v>
      </c>
      <c r="P1185" s="67">
        <v>2736</v>
      </c>
      <c r="Q1185" s="87">
        <f t="shared" si="637"/>
        <v>6.1699650756693827E-2</v>
      </c>
      <c r="R1185" s="203"/>
    </row>
    <row r="1186" spans="1:21" ht="14.1" customHeight="1" x14ac:dyDescent="0.2">
      <c r="A1186" s="89"/>
      <c r="B1186" s="90">
        <v>5525</v>
      </c>
      <c r="C1186" s="72" t="s">
        <v>299</v>
      </c>
      <c r="D1186" s="102"/>
      <c r="E1186" s="71"/>
      <c r="F1186" s="74"/>
      <c r="G1186" s="74">
        <v>0</v>
      </c>
      <c r="H1186" s="74"/>
      <c r="I1186" s="71"/>
      <c r="J1186" s="73"/>
      <c r="K1186" s="74">
        <v>352</v>
      </c>
      <c r="L1186" s="74">
        <f t="shared" si="646"/>
        <v>352</v>
      </c>
      <c r="M1186" s="74"/>
      <c r="N1186" s="74">
        <f t="shared" si="641"/>
        <v>352</v>
      </c>
      <c r="O1186" s="74">
        <v>642</v>
      </c>
      <c r="P1186" s="67">
        <v>659</v>
      </c>
      <c r="Q1186" s="87">
        <f t="shared" si="637"/>
        <v>0.87215909090909094</v>
      </c>
      <c r="R1186" s="206"/>
    </row>
    <row r="1187" spans="1:21" ht="14.1" customHeight="1" x14ac:dyDescent="0.2">
      <c r="A1187" s="164" t="s">
        <v>709</v>
      </c>
      <c r="B1187" s="147"/>
      <c r="C1187" s="148" t="s">
        <v>376</v>
      </c>
      <c r="D1187" s="149">
        <v>25700</v>
      </c>
      <c r="E1187" s="151">
        <f>+E1188</f>
        <v>8400</v>
      </c>
      <c r="F1187" s="137">
        <f t="shared" ref="F1187:F1221" si="647">+E1187+D1187</f>
        <v>34100</v>
      </c>
      <c r="G1187" s="137"/>
      <c r="H1187" s="137">
        <f>+H1188</f>
        <v>34100</v>
      </c>
      <c r="I1187" s="151">
        <f>+I1188</f>
        <v>31114</v>
      </c>
      <c r="J1187" s="152">
        <f>+J1188</f>
        <v>33718</v>
      </c>
      <c r="K1187" s="152">
        <f t="shared" ref="K1187:P1187" si="648">+K1188</f>
        <v>0</v>
      </c>
      <c r="L1187" s="152">
        <f t="shared" si="648"/>
        <v>33718</v>
      </c>
      <c r="M1187" s="152">
        <f t="shared" si="648"/>
        <v>0</v>
      </c>
      <c r="N1187" s="152">
        <f t="shared" si="648"/>
        <v>33718</v>
      </c>
      <c r="O1187" s="152">
        <f t="shared" si="648"/>
        <v>28247</v>
      </c>
      <c r="P1187" s="152">
        <f t="shared" si="648"/>
        <v>46598</v>
      </c>
      <c r="Q1187" s="87">
        <f t="shared" si="637"/>
        <v>0.38199181446111868</v>
      </c>
      <c r="R1187" s="203"/>
    </row>
    <row r="1188" spans="1:21" ht="14.1" customHeight="1" x14ac:dyDescent="0.2">
      <c r="A1188" s="89"/>
      <c r="B1188" s="95" t="s">
        <v>101</v>
      </c>
      <c r="C1188" s="96" t="s">
        <v>102</v>
      </c>
      <c r="D1188" s="43">
        <v>25700</v>
      </c>
      <c r="E1188" s="71">
        <v>8400</v>
      </c>
      <c r="F1188" s="74">
        <f t="shared" si="647"/>
        <v>34100</v>
      </c>
      <c r="G1188" s="74"/>
      <c r="H1188" s="74">
        <v>34100</v>
      </c>
      <c r="I1188" s="71">
        <v>31114</v>
      </c>
      <c r="J1188" s="73">
        <v>33718</v>
      </c>
      <c r="K1188" s="74"/>
      <c r="L1188" s="140">
        <f>+K1188+J1188</f>
        <v>33718</v>
      </c>
      <c r="M1188" s="140"/>
      <c r="N1188" s="140">
        <f t="shared" ref="N1188" si="649">+M1188+L1188</f>
        <v>33718</v>
      </c>
      <c r="O1188" s="140">
        <v>28247</v>
      </c>
      <c r="P1188" s="67">
        <v>46598</v>
      </c>
      <c r="Q1188" s="87">
        <f t="shared" si="637"/>
        <v>0.38199181446111868</v>
      </c>
      <c r="R1188" s="204" t="s">
        <v>1016</v>
      </c>
      <c r="S1188" s="56" t="s">
        <v>1367</v>
      </c>
      <c r="U1188" s="49" t="s">
        <v>1517</v>
      </c>
    </row>
    <row r="1189" spans="1:21" ht="14.1" customHeight="1" x14ac:dyDescent="0.2">
      <c r="A1189" s="146" t="s">
        <v>706</v>
      </c>
      <c r="B1189" s="147"/>
      <c r="C1189" s="207" t="s">
        <v>378</v>
      </c>
      <c r="D1189" s="149">
        <v>350000</v>
      </c>
      <c r="E1189" s="150"/>
      <c r="F1189" s="137">
        <f t="shared" si="647"/>
        <v>350000</v>
      </c>
      <c r="G1189" s="137">
        <f>+G1190</f>
        <v>23000</v>
      </c>
      <c r="H1189" s="137">
        <f>+H1190</f>
        <v>373000</v>
      </c>
      <c r="I1189" s="151">
        <f>+I1190</f>
        <v>302139</v>
      </c>
      <c r="J1189" s="152">
        <f>+J1190</f>
        <v>350000</v>
      </c>
      <c r="K1189" s="137"/>
      <c r="L1189" s="137">
        <f>+L1190</f>
        <v>350000</v>
      </c>
      <c r="M1189" s="137">
        <f t="shared" ref="M1189:P1189" si="650">+M1190</f>
        <v>60000</v>
      </c>
      <c r="N1189" s="137">
        <f>+N1190</f>
        <v>410000</v>
      </c>
      <c r="O1189" s="137">
        <f t="shared" si="650"/>
        <v>342848</v>
      </c>
      <c r="P1189" s="137">
        <f t="shared" si="650"/>
        <v>410000</v>
      </c>
      <c r="Q1189" s="87">
        <f t="shared" si="637"/>
        <v>0</v>
      </c>
      <c r="R1189" s="203"/>
    </row>
    <row r="1190" spans="1:21" ht="14.1" customHeight="1" x14ac:dyDescent="0.2">
      <c r="A1190" s="89"/>
      <c r="B1190" s="90">
        <v>5524</v>
      </c>
      <c r="C1190" s="72" t="s">
        <v>104</v>
      </c>
      <c r="D1190" s="102">
        <v>350000</v>
      </c>
      <c r="E1190" s="71"/>
      <c r="F1190" s="74">
        <f t="shared" si="647"/>
        <v>350000</v>
      </c>
      <c r="G1190" s="74">
        <v>23000</v>
      </c>
      <c r="H1190" s="74">
        <f>+G1190+F1190</f>
        <v>373000</v>
      </c>
      <c r="I1190" s="71">
        <v>302139</v>
      </c>
      <c r="J1190" s="73">
        <v>350000</v>
      </c>
      <c r="K1190" s="74"/>
      <c r="L1190" s="141">
        <v>350000</v>
      </c>
      <c r="M1190" s="92">
        <v>60000</v>
      </c>
      <c r="N1190" s="141">
        <f>+L1190+M1190</f>
        <v>410000</v>
      </c>
      <c r="O1190" s="141">
        <v>342848</v>
      </c>
      <c r="P1190" s="67">
        <v>410000</v>
      </c>
      <c r="Q1190" s="87">
        <f t="shared" si="637"/>
        <v>0</v>
      </c>
      <c r="R1190" s="206" t="s">
        <v>1117</v>
      </c>
    </row>
    <row r="1191" spans="1:21" ht="14.1" customHeight="1" x14ac:dyDescent="0.2">
      <c r="A1191" s="146" t="s">
        <v>702</v>
      </c>
      <c r="B1191" s="147"/>
      <c r="C1191" s="148" t="s">
        <v>379</v>
      </c>
      <c r="D1191" s="149">
        <v>234877</v>
      </c>
      <c r="E1191" s="151">
        <f>+E1192+E1193</f>
        <v>11448</v>
      </c>
      <c r="F1191" s="137">
        <f t="shared" si="647"/>
        <v>246325</v>
      </c>
      <c r="G1191" s="137">
        <f>+G1192+G1193</f>
        <v>8389</v>
      </c>
      <c r="H1191" s="137">
        <f>+H1192+H1193</f>
        <v>254714</v>
      </c>
      <c r="I1191" s="151">
        <f>+I1192+I1193</f>
        <v>192477</v>
      </c>
      <c r="J1191" s="152">
        <f>+J1192+J1193</f>
        <v>266275</v>
      </c>
      <c r="K1191" s="152">
        <f t="shared" ref="K1191" si="651">+K1192+K1193</f>
        <v>-14000</v>
      </c>
      <c r="L1191" s="152">
        <f>+L1192+L1193</f>
        <v>252275</v>
      </c>
      <c r="M1191" s="152">
        <f t="shared" ref="M1191:N1191" si="652">+M1192+M1193</f>
        <v>10744</v>
      </c>
      <c r="N1191" s="152">
        <f t="shared" si="652"/>
        <v>263019</v>
      </c>
      <c r="O1191" s="152">
        <f t="shared" ref="O1191:P1191" si="653">+O1192+O1193</f>
        <v>215104</v>
      </c>
      <c r="P1191" s="152">
        <f t="shared" si="653"/>
        <v>327921</v>
      </c>
      <c r="Q1191" s="87">
        <f t="shared" si="637"/>
        <v>0.24675783878731194</v>
      </c>
      <c r="R1191" s="203" t="s">
        <v>1518</v>
      </c>
    </row>
    <row r="1192" spans="1:21" ht="14.1" customHeight="1" x14ac:dyDescent="0.2">
      <c r="A1192" s="89"/>
      <c r="B1192" s="90" t="s">
        <v>101</v>
      </c>
      <c r="C1192" s="96" t="s">
        <v>102</v>
      </c>
      <c r="D1192" s="43">
        <v>123077</v>
      </c>
      <c r="E1192" s="97">
        <v>0</v>
      </c>
      <c r="F1192" s="98">
        <f t="shared" si="647"/>
        <v>123077</v>
      </c>
      <c r="G1192" s="98"/>
      <c r="H1192" s="98">
        <f t="shared" ref="H1192" si="654">+G1192+F1192</f>
        <v>123077</v>
      </c>
      <c r="I1192" s="97">
        <v>95942</v>
      </c>
      <c r="J1192" s="99">
        <v>132075</v>
      </c>
      <c r="K1192" s="98">
        <v>0</v>
      </c>
      <c r="L1192" s="182">
        <f>+K1192+J1192</f>
        <v>132075</v>
      </c>
      <c r="M1192" s="109">
        <v>8852</v>
      </c>
      <c r="N1192" s="182">
        <f t="shared" ref="N1192:N1196" si="655">+M1192+L1192</f>
        <v>140927</v>
      </c>
      <c r="O1192" s="182">
        <v>100919</v>
      </c>
      <c r="P1192" s="78">
        <v>165212</v>
      </c>
      <c r="Q1192" s="87">
        <f t="shared" si="637"/>
        <v>0.17232325955991401</v>
      </c>
      <c r="R1192" s="204" t="s">
        <v>1368</v>
      </c>
    </row>
    <row r="1193" spans="1:21" ht="14.1" customHeight="1" x14ac:dyDescent="0.2">
      <c r="A1193" s="89"/>
      <c r="B1193" s="90" t="s">
        <v>103</v>
      </c>
      <c r="C1193" s="96" t="s">
        <v>104</v>
      </c>
      <c r="D1193" s="43">
        <v>111800</v>
      </c>
      <c r="E1193" s="97">
        <f>+E1194+E1195+E1196+E1197+E1207+E1208+E1209+E1210+E1212+E1213+E1214+E1215+E1216</f>
        <v>11448</v>
      </c>
      <c r="F1193" s="98">
        <f t="shared" si="647"/>
        <v>123248</v>
      </c>
      <c r="G1193" s="98">
        <f>+G1208+G1209</f>
        <v>8389</v>
      </c>
      <c r="H1193" s="98">
        <f t="shared" ref="H1193:H1216" si="656">+G1193+F1193</f>
        <v>131637</v>
      </c>
      <c r="I1193" s="97">
        <f>+I1194+I1195+I1196+I1197+I1207+I1208+I1209+I1210+I1212+I1213+I1214+I1216</f>
        <v>96535</v>
      </c>
      <c r="J1193" s="99">
        <f>+J1194+J1195+J1196+J1197+J1207+J1208+J1209+J1210+J1212+J1213+J1214+J1215+J1216</f>
        <v>134200</v>
      </c>
      <c r="K1193" s="99">
        <f>+K1194+K1195+K1196+K1197+K1207+K1208+K1209+K1210+K1212+K1213+K1214+K1215+K1216</f>
        <v>-14000</v>
      </c>
      <c r="L1193" s="170">
        <f>+L1194+L1195+L1196+L1197+L1207+L1208+L1209+L1210+L1212+L1213+L1214+L1215+L1216</f>
        <v>120200</v>
      </c>
      <c r="M1193" s="170">
        <f t="shared" ref="M1193:N1193" si="657">+M1194+M1195+M1196+M1197+M1207+M1208+M1209+M1210+M1212+M1213+M1214+M1215+M1216</f>
        <v>1892</v>
      </c>
      <c r="N1193" s="170">
        <f t="shared" si="657"/>
        <v>122092</v>
      </c>
      <c r="O1193" s="170">
        <f>+O1194+O1195+O1196+O1197+O1207+O1208+O1209+O1210+O1212+O1213+O1214+O1215+O1216+O1211</f>
        <v>114185</v>
      </c>
      <c r="P1193" s="170">
        <f>+P1194+P1195+P1196+P1197+P1207+P1208+P1209+P1210+P1212+P1213+P1214+P1215+P1216</f>
        <v>162709</v>
      </c>
      <c r="Q1193" s="87">
        <f t="shared" si="637"/>
        <v>0.33267535956491828</v>
      </c>
      <c r="R1193" s="206"/>
    </row>
    <row r="1194" spans="1:21" ht="14.1" customHeight="1" x14ac:dyDescent="0.2">
      <c r="A1194" s="89"/>
      <c r="B1194" s="90">
        <v>5500</v>
      </c>
      <c r="C1194" s="72" t="s">
        <v>237</v>
      </c>
      <c r="D1194" s="102">
        <v>4400</v>
      </c>
      <c r="E1194" s="71"/>
      <c r="F1194" s="74">
        <f t="shared" si="647"/>
        <v>4400</v>
      </c>
      <c r="G1194" s="74"/>
      <c r="H1194" s="74">
        <f t="shared" si="656"/>
        <v>4400</v>
      </c>
      <c r="I1194" s="71">
        <v>4601</v>
      </c>
      <c r="J1194" s="73">
        <v>4700</v>
      </c>
      <c r="K1194" s="74"/>
      <c r="L1194" s="74">
        <f t="shared" ref="L1194:L1216" si="658">+K1194+J1194</f>
        <v>4700</v>
      </c>
      <c r="M1194" s="74"/>
      <c r="N1194" s="74">
        <f t="shared" si="655"/>
        <v>4700</v>
      </c>
      <c r="O1194" s="74">
        <v>4292</v>
      </c>
      <c r="P1194" s="67">
        <v>8300</v>
      </c>
      <c r="Q1194" s="87">
        <f t="shared" si="637"/>
        <v>0.76595744680851063</v>
      </c>
      <c r="R1194" s="206" t="s">
        <v>1018</v>
      </c>
    </row>
    <row r="1195" spans="1:21" ht="14.1" customHeight="1" x14ac:dyDescent="0.2">
      <c r="A1195" s="89"/>
      <c r="B1195" s="90">
        <v>5503</v>
      </c>
      <c r="C1195" s="72" t="s">
        <v>107</v>
      </c>
      <c r="D1195" s="102">
        <v>700</v>
      </c>
      <c r="E1195" s="71"/>
      <c r="F1195" s="74">
        <f t="shared" si="647"/>
        <v>700</v>
      </c>
      <c r="G1195" s="74"/>
      <c r="H1195" s="74">
        <f t="shared" si="656"/>
        <v>700</v>
      </c>
      <c r="I1195" s="71"/>
      <c r="J1195" s="73">
        <v>600</v>
      </c>
      <c r="K1195" s="74"/>
      <c r="L1195" s="74">
        <f t="shared" si="658"/>
        <v>600</v>
      </c>
      <c r="M1195" s="74"/>
      <c r="N1195" s="74">
        <f t="shared" si="655"/>
        <v>600</v>
      </c>
      <c r="O1195" s="74">
        <v>250</v>
      </c>
      <c r="P1195" s="67">
        <v>500</v>
      </c>
      <c r="Q1195" s="87">
        <f t="shared" si="637"/>
        <v>-0.16666666666666666</v>
      </c>
      <c r="R1195" s="203"/>
    </row>
    <row r="1196" spans="1:21" ht="14.1" customHeight="1" x14ac:dyDescent="0.2">
      <c r="A1196" s="89"/>
      <c r="B1196" s="90">
        <v>5504</v>
      </c>
      <c r="C1196" s="72" t="s">
        <v>221</v>
      </c>
      <c r="D1196" s="102">
        <v>1500</v>
      </c>
      <c r="E1196" s="71"/>
      <c r="F1196" s="74">
        <f t="shared" si="647"/>
        <v>1500</v>
      </c>
      <c r="G1196" s="74"/>
      <c r="H1196" s="74">
        <f t="shared" si="656"/>
        <v>1500</v>
      </c>
      <c r="I1196" s="71">
        <v>1283</v>
      </c>
      <c r="J1196" s="73">
        <v>4000</v>
      </c>
      <c r="K1196" s="74"/>
      <c r="L1196" s="74">
        <f t="shared" si="658"/>
        <v>4000</v>
      </c>
      <c r="M1196" s="74"/>
      <c r="N1196" s="74">
        <f t="shared" si="655"/>
        <v>4000</v>
      </c>
      <c r="O1196" s="74">
        <v>2008</v>
      </c>
      <c r="P1196" s="67">
        <v>4000</v>
      </c>
      <c r="Q1196" s="87">
        <f t="shared" si="637"/>
        <v>0</v>
      </c>
      <c r="R1196" s="203"/>
      <c r="S1196" s="49"/>
    </row>
    <row r="1197" spans="1:21" ht="14.1" customHeight="1" x14ac:dyDescent="0.2">
      <c r="A1197" s="89"/>
      <c r="B1197" s="90">
        <v>5511</v>
      </c>
      <c r="C1197" s="72" t="s">
        <v>380</v>
      </c>
      <c r="D1197" s="102">
        <v>59800</v>
      </c>
      <c r="E1197" s="71"/>
      <c r="F1197" s="74">
        <f t="shared" si="647"/>
        <v>59800</v>
      </c>
      <c r="G1197" s="74"/>
      <c r="H1197" s="74">
        <f t="shared" si="656"/>
        <v>59800</v>
      </c>
      <c r="I1197" s="71">
        <f>SUM(I1198:I1206)</f>
        <v>50727</v>
      </c>
      <c r="J1197" s="73">
        <f>+J1198+J1199+J1200+J1201+J1202+J1203+J1204+J1205+J1206</f>
        <v>62900</v>
      </c>
      <c r="K1197" s="73">
        <f t="shared" ref="K1197" si="659">+K1198+K1199+K1200+K1201+K1202+K1203+K1204+K1205+K1206</f>
        <v>0</v>
      </c>
      <c r="L1197" s="73">
        <f>SUM(L1198:L1206)</f>
        <v>62900</v>
      </c>
      <c r="M1197" s="73">
        <f t="shared" ref="M1197:N1197" si="660">SUM(M1198:M1206)</f>
        <v>0</v>
      </c>
      <c r="N1197" s="73">
        <f t="shared" si="660"/>
        <v>62900</v>
      </c>
      <c r="O1197" s="73">
        <f>SUM(O1198:O1206)</f>
        <v>60002</v>
      </c>
      <c r="P1197" s="127">
        <f t="shared" ref="P1197" si="661">SUM(P1198:P1206)</f>
        <v>88516</v>
      </c>
      <c r="Q1197" s="87">
        <f t="shared" si="637"/>
        <v>0.40724960254372017</v>
      </c>
      <c r="R1197" s="206"/>
    </row>
    <row r="1198" spans="1:21" ht="14.1" customHeight="1" x14ac:dyDescent="0.2">
      <c r="A1198" s="89"/>
      <c r="B1198" s="90"/>
      <c r="C1198" s="154" t="s">
        <v>223</v>
      </c>
      <c r="D1198" s="157">
        <v>35000</v>
      </c>
      <c r="E1198" s="71"/>
      <c r="F1198" s="153">
        <f t="shared" si="647"/>
        <v>35000</v>
      </c>
      <c r="G1198" s="153"/>
      <c r="H1198" s="153">
        <f t="shared" si="656"/>
        <v>35000</v>
      </c>
      <c r="I1198" s="158">
        <v>22788</v>
      </c>
      <c r="J1198" s="159">
        <v>30000</v>
      </c>
      <c r="K1198" s="153"/>
      <c r="L1198" s="153">
        <f t="shared" si="658"/>
        <v>30000</v>
      </c>
      <c r="M1198" s="153"/>
      <c r="N1198" s="153">
        <f t="shared" ref="N1198:N1216" si="662">+M1198+L1198</f>
        <v>30000</v>
      </c>
      <c r="O1198" s="153">
        <v>21544</v>
      </c>
      <c r="P1198" s="155">
        <v>40000</v>
      </c>
      <c r="Q1198" s="87">
        <f t="shared" si="637"/>
        <v>0.33333333333333331</v>
      </c>
      <c r="R1198" s="206"/>
    </row>
    <row r="1199" spans="1:21" ht="14.1" customHeight="1" x14ac:dyDescent="0.2">
      <c r="A1199" s="89"/>
      <c r="B1199" s="90"/>
      <c r="C1199" s="154" t="s">
        <v>224</v>
      </c>
      <c r="D1199" s="157">
        <v>10000</v>
      </c>
      <c r="E1199" s="71"/>
      <c r="F1199" s="153">
        <f t="shared" si="647"/>
        <v>10000</v>
      </c>
      <c r="G1199" s="153"/>
      <c r="H1199" s="153">
        <f t="shared" si="656"/>
        <v>10000</v>
      </c>
      <c r="I1199" s="158">
        <v>13668</v>
      </c>
      <c r="J1199" s="159">
        <v>18000</v>
      </c>
      <c r="K1199" s="153"/>
      <c r="L1199" s="153">
        <f t="shared" si="658"/>
        <v>18000</v>
      </c>
      <c r="M1199" s="153"/>
      <c r="N1199" s="153">
        <f t="shared" si="662"/>
        <v>18000</v>
      </c>
      <c r="O1199" s="153">
        <f>17690-163</f>
        <v>17527</v>
      </c>
      <c r="P1199" s="155">
        <v>24000</v>
      </c>
      <c r="Q1199" s="87">
        <f t="shared" si="637"/>
        <v>0.33333333333333331</v>
      </c>
      <c r="R1199" s="206"/>
      <c r="S1199" s="171" t="s">
        <v>1417</v>
      </c>
    </row>
    <row r="1200" spans="1:21" ht="14.1" customHeight="1" x14ac:dyDescent="0.2">
      <c r="A1200" s="89"/>
      <c r="B1200" s="90"/>
      <c r="C1200" s="154" t="s">
        <v>225</v>
      </c>
      <c r="D1200" s="157">
        <v>2500</v>
      </c>
      <c r="E1200" s="71"/>
      <c r="F1200" s="153">
        <f t="shared" si="647"/>
        <v>2500</v>
      </c>
      <c r="G1200" s="153"/>
      <c r="H1200" s="153">
        <f t="shared" si="656"/>
        <v>2500</v>
      </c>
      <c r="I1200" s="158">
        <v>1211</v>
      </c>
      <c r="J1200" s="159">
        <v>1200</v>
      </c>
      <c r="K1200" s="153"/>
      <c r="L1200" s="153">
        <f t="shared" si="658"/>
        <v>1200</v>
      </c>
      <c r="M1200" s="153"/>
      <c r="N1200" s="153">
        <f t="shared" si="662"/>
        <v>1200</v>
      </c>
      <c r="O1200" s="153">
        <v>1428</v>
      </c>
      <c r="P1200" s="155">
        <v>1600</v>
      </c>
      <c r="Q1200" s="87">
        <f t="shared" si="637"/>
        <v>0.33333333333333331</v>
      </c>
      <c r="R1200" s="206"/>
    </row>
    <row r="1201" spans="1:19" ht="14.1" customHeight="1" x14ac:dyDescent="0.2">
      <c r="A1201" s="89"/>
      <c r="B1201" s="90"/>
      <c r="C1201" s="154" t="s">
        <v>367</v>
      </c>
      <c r="D1201" s="157">
        <v>4000</v>
      </c>
      <c r="E1201" s="71"/>
      <c r="F1201" s="153">
        <f t="shared" si="647"/>
        <v>4000</v>
      </c>
      <c r="G1201" s="153"/>
      <c r="H1201" s="153">
        <f t="shared" si="656"/>
        <v>4000</v>
      </c>
      <c r="I1201" s="158">
        <v>3846</v>
      </c>
      <c r="J1201" s="159">
        <v>3000</v>
      </c>
      <c r="K1201" s="153"/>
      <c r="L1201" s="153">
        <f t="shared" si="658"/>
        <v>3000</v>
      </c>
      <c r="M1201" s="153"/>
      <c r="N1201" s="153">
        <f t="shared" si="662"/>
        <v>3000</v>
      </c>
      <c r="O1201" s="153">
        <v>6036</v>
      </c>
      <c r="P1201" s="155">
        <v>4000</v>
      </c>
      <c r="Q1201" s="87">
        <f t="shared" si="637"/>
        <v>0.33333333333333331</v>
      </c>
      <c r="R1201" s="206"/>
    </row>
    <row r="1202" spans="1:19" ht="14.1" customHeight="1" x14ac:dyDescent="0.2">
      <c r="A1202" s="89"/>
      <c r="B1202" s="90"/>
      <c r="C1202" s="154" t="s">
        <v>227</v>
      </c>
      <c r="D1202" s="157">
        <v>4000</v>
      </c>
      <c r="E1202" s="71"/>
      <c r="F1202" s="153">
        <f t="shared" si="647"/>
        <v>4000</v>
      </c>
      <c r="G1202" s="153"/>
      <c r="H1202" s="153">
        <f t="shared" si="656"/>
        <v>4000</v>
      </c>
      <c r="I1202" s="158">
        <v>2769</v>
      </c>
      <c r="J1202" s="159">
        <v>6000</v>
      </c>
      <c r="K1202" s="153"/>
      <c r="L1202" s="153">
        <f t="shared" si="658"/>
        <v>6000</v>
      </c>
      <c r="M1202" s="153"/>
      <c r="N1202" s="153">
        <f t="shared" si="662"/>
        <v>6000</v>
      </c>
      <c r="O1202" s="153">
        <v>3587</v>
      </c>
      <c r="P1202" s="155">
        <v>5000</v>
      </c>
      <c r="Q1202" s="87">
        <f t="shared" si="637"/>
        <v>-0.16666666666666666</v>
      </c>
      <c r="R1202" s="206"/>
    </row>
    <row r="1203" spans="1:19" ht="14.1" customHeight="1" x14ac:dyDescent="0.2">
      <c r="A1203" s="89"/>
      <c r="B1203" s="90"/>
      <c r="C1203" s="154" t="s">
        <v>228</v>
      </c>
      <c r="D1203" s="157">
        <v>1000</v>
      </c>
      <c r="E1203" s="71"/>
      <c r="F1203" s="153">
        <f t="shared" si="647"/>
        <v>1000</v>
      </c>
      <c r="G1203" s="153"/>
      <c r="H1203" s="153">
        <f t="shared" si="656"/>
        <v>1000</v>
      </c>
      <c r="I1203" s="158">
        <v>4982</v>
      </c>
      <c r="J1203" s="159">
        <v>1000</v>
      </c>
      <c r="K1203" s="153"/>
      <c r="L1203" s="153">
        <f t="shared" si="658"/>
        <v>1000</v>
      </c>
      <c r="M1203" s="153"/>
      <c r="N1203" s="153">
        <f t="shared" si="662"/>
        <v>1000</v>
      </c>
      <c r="O1203" s="153">
        <v>6136</v>
      </c>
      <c r="P1203" s="155">
        <v>6000</v>
      </c>
      <c r="Q1203" s="87">
        <f t="shared" si="637"/>
        <v>5</v>
      </c>
      <c r="R1203" s="206"/>
    </row>
    <row r="1204" spans="1:19" ht="14.1" customHeight="1" x14ac:dyDescent="0.2">
      <c r="A1204" s="89"/>
      <c r="B1204" s="90"/>
      <c r="C1204" s="154" t="s">
        <v>230</v>
      </c>
      <c r="D1204" s="157">
        <v>2000</v>
      </c>
      <c r="E1204" s="71"/>
      <c r="F1204" s="153">
        <f t="shared" si="647"/>
        <v>2000</v>
      </c>
      <c r="G1204" s="153"/>
      <c r="H1204" s="153">
        <f t="shared" si="656"/>
        <v>2000</v>
      </c>
      <c r="I1204" s="158">
        <v>581</v>
      </c>
      <c r="J1204" s="159">
        <v>2000</v>
      </c>
      <c r="K1204" s="153"/>
      <c r="L1204" s="153">
        <f t="shared" si="658"/>
        <v>2000</v>
      </c>
      <c r="M1204" s="153"/>
      <c r="N1204" s="153">
        <f t="shared" si="662"/>
        <v>2000</v>
      </c>
      <c r="O1204" s="153">
        <v>1458</v>
      </c>
      <c r="P1204" s="155">
        <v>1000</v>
      </c>
      <c r="Q1204" s="87">
        <f t="shared" si="637"/>
        <v>-0.5</v>
      </c>
      <c r="R1204" s="203"/>
    </row>
    <row r="1205" spans="1:19" ht="14.1" customHeight="1" x14ac:dyDescent="0.2">
      <c r="A1205" s="89"/>
      <c r="B1205" s="90"/>
      <c r="C1205" s="154" t="s">
        <v>231</v>
      </c>
      <c r="D1205" s="157">
        <v>500</v>
      </c>
      <c r="E1205" s="71"/>
      <c r="F1205" s="153">
        <f t="shared" si="647"/>
        <v>500</v>
      </c>
      <c r="G1205" s="153"/>
      <c r="H1205" s="153">
        <f t="shared" si="656"/>
        <v>500</v>
      </c>
      <c r="I1205" s="158">
        <v>882</v>
      </c>
      <c r="J1205" s="159">
        <v>900</v>
      </c>
      <c r="K1205" s="153"/>
      <c r="L1205" s="153">
        <f t="shared" si="658"/>
        <v>900</v>
      </c>
      <c r="M1205" s="153"/>
      <c r="N1205" s="153">
        <f t="shared" si="662"/>
        <v>900</v>
      </c>
      <c r="O1205" s="153">
        <v>1916</v>
      </c>
      <c r="P1205" s="155">
        <v>1916</v>
      </c>
      <c r="Q1205" s="87">
        <f t="shared" si="637"/>
        <v>1.1288888888888888</v>
      </c>
      <c r="R1205" s="206"/>
    </row>
    <row r="1206" spans="1:19" ht="14.1" customHeight="1" x14ac:dyDescent="0.2">
      <c r="A1206" s="89"/>
      <c r="B1206" s="90"/>
      <c r="C1206" s="154" t="s">
        <v>232</v>
      </c>
      <c r="D1206" s="157">
        <v>800</v>
      </c>
      <c r="E1206" s="71"/>
      <c r="F1206" s="153">
        <f t="shared" si="647"/>
        <v>800</v>
      </c>
      <c r="G1206" s="153"/>
      <c r="H1206" s="153">
        <f t="shared" si="656"/>
        <v>800</v>
      </c>
      <c r="I1206" s="158"/>
      <c r="J1206" s="159">
        <v>800</v>
      </c>
      <c r="K1206" s="153"/>
      <c r="L1206" s="153">
        <f t="shared" si="658"/>
        <v>800</v>
      </c>
      <c r="M1206" s="153"/>
      <c r="N1206" s="153">
        <f t="shared" si="662"/>
        <v>800</v>
      </c>
      <c r="O1206" s="153">
        <v>370</v>
      </c>
      <c r="P1206" s="155">
        <v>5000</v>
      </c>
      <c r="Q1206" s="87">
        <f t="shared" si="637"/>
        <v>5.25</v>
      </c>
      <c r="R1206" s="203" t="s">
        <v>1542</v>
      </c>
    </row>
    <row r="1207" spans="1:19" ht="14.1" customHeight="1" x14ac:dyDescent="0.2">
      <c r="A1207" s="89"/>
      <c r="B1207" s="90">
        <v>5513</v>
      </c>
      <c r="C1207" s="72" t="s">
        <v>381</v>
      </c>
      <c r="D1207" s="102">
        <v>9400</v>
      </c>
      <c r="E1207" s="71"/>
      <c r="F1207" s="74">
        <f t="shared" si="647"/>
        <v>9400</v>
      </c>
      <c r="G1207" s="74"/>
      <c r="H1207" s="74">
        <f t="shared" si="656"/>
        <v>9400</v>
      </c>
      <c r="I1207" s="71">
        <v>5969</v>
      </c>
      <c r="J1207" s="73">
        <v>9400</v>
      </c>
      <c r="K1207" s="74"/>
      <c r="L1207" s="74">
        <f t="shared" si="658"/>
        <v>9400</v>
      </c>
      <c r="M1207" s="74"/>
      <c r="N1207" s="74">
        <f t="shared" si="662"/>
        <v>9400</v>
      </c>
      <c r="O1207" s="74">
        <v>6677</v>
      </c>
      <c r="P1207" s="67">
        <v>8000</v>
      </c>
      <c r="Q1207" s="87">
        <f t="shared" si="637"/>
        <v>-0.14893617021276595</v>
      </c>
      <c r="R1207" s="203" t="s">
        <v>1520</v>
      </c>
    </row>
    <row r="1208" spans="1:19" ht="14.1" customHeight="1" x14ac:dyDescent="0.2">
      <c r="A1208" s="89"/>
      <c r="B1208" s="90">
        <v>5514</v>
      </c>
      <c r="C1208" s="72" t="s">
        <v>382</v>
      </c>
      <c r="D1208" s="102">
        <v>12000</v>
      </c>
      <c r="E1208" s="71"/>
      <c r="F1208" s="74">
        <f t="shared" si="647"/>
        <v>12000</v>
      </c>
      <c r="G1208" s="74">
        <v>7000</v>
      </c>
      <c r="H1208" s="74">
        <f t="shared" si="656"/>
        <v>19000</v>
      </c>
      <c r="I1208" s="71">
        <v>18555</v>
      </c>
      <c r="J1208" s="73">
        <v>22000</v>
      </c>
      <c r="K1208" s="74"/>
      <c r="L1208" s="74">
        <f t="shared" si="658"/>
        <v>22000</v>
      </c>
      <c r="M1208" s="74"/>
      <c r="N1208" s="74">
        <f t="shared" si="662"/>
        <v>22000</v>
      </c>
      <c r="O1208" s="74">
        <v>19189</v>
      </c>
      <c r="P1208" s="67">
        <v>20000</v>
      </c>
      <c r="Q1208" s="87">
        <f t="shared" si="637"/>
        <v>-9.0909090909090912E-2</v>
      </c>
      <c r="R1208" s="203" t="s">
        <v>1519</v>
      </c>
    </row>
    <row r="1209" spans="1:19" ht="14.1" customHeight="1" x14ac:dyDescent="0.2">
      <c r="A1209" s="89"/>
      <c r="B1209" s="90">
        <v>5515</v>
      </c>
      <c r="C1209" s="72" t="s">
        <v>383</v>
      </c>
      <c r="D1209" s="102">
        <v>4000</v>
      </c>
      <c r="E1209" s="71"/>
      <c r="F1209" s="74">
        <f t="shared" si="647"/>
        <v>4000</v>
      </c>
      <c r="G1209" s="74">
        <v>1389</v>
      </c>
      <c r="H1209" s="74">
        <f t="shared" si="656"/>
        <v>5389</v>
      </c>
      <c r="I1209" s="71">
        <v>3702</v>
      </c>
      <c r="J1209" s="73">
        <v>4000</v>
      </c>
      <c r="K1209" s="74">
        <v>-3000</v>
      </c>
      <c r="L1209" s="74">
        <f t="shared" si="658"/>
        <v>1000</v>
      </c>
      <c r="M1209" s="74"/>
      <c r="N1209" s="74">
        <f t="shared" si="662"/>
        <v>1000</v>
      </c>
      <c r="O1209" s="74">
        <v>7426</v>
      </c>
      <c r="P1209" s="67">
        <v>6000</v>
      </c>
      <c r="Q1209" s="87">
        <f t="shared" si="637"/>
        <v>5</v>
      </c>
      <c r="R1209" s="203" t="s">
        <v>1021</v>
      </c>
    </row>
    <row r="1210" spans="1:19" ht="14.1" customHeight="1" x14ac:dyDescent="0.2">
      <c r="A1210" s="89"/>
      <c r="B1210" s="90">
        <v>5516</v>
      </c>
      <c r="C1210" s="72" t="s">
        <v>989</v>
      </c>
      <c r="D1210" s="102">
        <v>0</v>
      </c>
      <c r="E1210" s="71"/>
      <c r="F1210" s="74">
        <f t="shared" si="647"/>
        <v>0</v>
      </c>
      <c r="G1210" s="74"/>
      <c r="H1210" s="74">
        <f t="shared" si="656"/>
        <v>0</v>
      </c>
      <c r="I1210" s="71"/>
      <c r="J1210" s="73">
        <v>6000</v>
      </c>
      <c r="K1210" s="74">
        <v>-6000</v>
      </c>
      <c r="L1210" s="74">
        <f t="shared" si="658"/>
        <v>0</v>
      </c>
      <c r="M1210" s="74"/>
      <c r="N1210" s="74">
        <f t="shared" si="662"/>
        <v>0</v>
      </c>
      <c r="O1210" s="74"/>
      <c r="P1210" s="67">
        <v>3000</v>
      </c>
      <c r="Q1210" s="87" t="e">
        <f t="shared" si="637"/>
        <v>#DIV/0!</v>
      </c>
      <c r="R1210" s="203" t="s">
        <v>1022</v>
      </c>
      <c r="S1210" s="53"/>
    </row>
    <row r="1211" spans="1:19" ht="14.1" customHeight="1" x14ac:dyDescent="0.2">
      <c r="A1211" s="89"/>
      <c r="B1211" s="90">
        <v>5521</v>
      </c>
      <c r="C1211" s="72" t="s">
        <v>263</v>
      </c>
      <c r="D1211" s="102"/>
      <c r="E1211" s="71"/>
      <c r="F1211" s="74"/>
      <c r="G1211" s="74"/>
      <c r="H1211" s="74"/>
      <c r="I1211" s="71"/>
      <c r="J1211" s="73"/>
      <c r="K1211" s="74"/>
      <c r="L1211" s="74"/>
      <c r="M1211" s="74"/>
      <c r="N1211" s="74"/>
      <c r="O1211" s="74">
        <v>26</v>
      </c>
      <c r="P1211" s="67"/>
      <c r="Q1211" s="87"/>
      <c r="R1211" s="203"/>
      <c r="S1211" s="53"/>
    </row>
    <row r="1212" spans="1:19" ht="14.1" customHeight="1" x14ac:dyDescent="0.2">
      <c r="A1212" s="89"/>
      <c r="B1212" s="90">
        <v>5522</v>
      </c>
      <c r="C1212" s="72" t="s">
        <v>137</v>
      </c>
      <c r="D1212" s="102">
        <v>400</v>
      </c>
      <c r="E1212" s="71"/>
      <c r="F1212" s="74">
        <f t="shared" si="647"/>
        <v>400</v>
      </c>
      <c r="G1212" s="74"/>
      <c r="H1212" s="74">
        <f t="shared" si="656"/>
        <v>400</v>
      </c>
      <c r="I1212" s="71">
        <v>947</v>
      </c>
      <c r="J1212" s="73">
        <v>1000</v>
      </c>
      <c r="K1212" s="74"/>
      <c r="L1212" s="74">
        <f t="shared" si="658"/>
        <v>1000</v>
      </c>
      <c r="M1212" s="74"/>
      <c r="N1212" s="74">
        <f t="shared" si="662"/>
        <v>1000</v>
      </c>
      <c r="O1212" s="74">
        <v>445</v>
      </c>
      <c r="P1212" s="67">
        <v>900</v>
      </c>
      <c r="Q1212" s="87">
        <f t="shared" si="637"/>
        <v>-0.1</v>
      </c>
      <c r="R1212" s="203"/>
    </row>
    <row r="1213" spans="1:19" ht="14.1" customHeight="1" x14ac:dyDescent="0.2">
      <c r="A1213" s="89"/>
      <c r="B1213" s="90">
        <v>5524</v>
      </c>
      <c r="C1213" s="72" t="s">
        <v>345</v>
      </c>
      <c r="D1213" s="102">
        <v>10000</v>
      </c>
      <c r="E1213" s="71">
        <v>11448</v>
      </c>
      <c r="F1213" s="74">
        <f t="shared" si="647"/>
        <v>21448</v>
      </c>
      <c r="G1213" s="74"/>
      <c r="H1213" s="74">
        <f t="shared" si="656"/>
        <v>21448</v>
      </c>
      <c r="I1213" s="71">
        <v>4135</v>
      </c>
      <c r="J1213" s="73">
        <v>10000</v>
      </c>
      <c r="K1213" s="74">
        <v>-3000</v>
      </c>
      <c r="L1213" s="74">
        <f t="shared" si="658"/>
        <v>7000</v>
      </c>
      <c r="M1213" s="74"/>
      <c r="N1213" s="74">
        <f t="shared" si="662"/>
        <v>7000</v>
      </c>
      <c r="O1213" s="74">
        <v>2537</v>
      </c>
      <c r="P1213" s="67">
        <v>8900</v>
      </c>
      <c r="Q1213" s="87">
        <f t="shared" si="637"/>
        <v>0.27142857142857141</v>
      </c>
      <c r="R1213" s="203" t="s">
        <v>1020</v>
      </c>
    </row>
    <row r="1214" spans="1:19" ht="14.1" customHeight="1" x14ac:dyDescent="0.2">
      <c r="A1214" s="89"/>
      <c r="B1214" s="90">
        <v>5525</v>
      </c>
      <c r="C1214" s="72" t="s">
        <v>299</v>
      </c>
      <c r="D1214" s="102">
        <v>3600</v>
      </c>
      <c r="E1214" s="71"/>
      <c r="F1214" s="74">
        <f t="shared" si="647"/>
        <v>3600</v>
      </c>
      <c r="G1214" s="74"/>
      <c r="H1214" s="74">
        <f t="shared" si="656"/>
        <v>3600</v>
      </c>
      <c r="I1214" s="71">
        <v>3037</v>
      </c>
      <c r="J1214" s="73">
        <v>3600</v>
      </c>
      <c r="K1214" s="74"/>
      <c r="L1214" s="74">
        <f t="shared" si="658"/>
        <v>3600</v>
      </c>
      <c r="M1214" s="74"/>
      <c r="N1214" s="74">
        <f t="shared" si="662"/>
        <v>3600</v>
      </c>
      <c r="O1214" s="74">
        <v>4356</v>
      </c>
      <c r="P1214" s="67">
        <v>6000</v>
      </c>
      <c r="Q1214" s="87">
        <f t="shared" si="637"/>
        <v>0.66666666666666663</v>
      </c>
      <c r="R1214" s="204" t="s">
        <v>1019</v>
      </c>
    </row>
    <row r="1215" spans="1:19" ht="14.1" customHeight="1" x14ac:dyDescent="0.2">
      <c r="A1215" s="89"/>
      <c r="B1215" s="90">
        <v>5532</v>
      </c>
      <c r="C1215" s="72" t="s">
        <v>384</v>
      </c>
      <c r="D1215" s="102">
        <v>0</v>
      </c>
      <c r="E1215" s="71"/>
      <c r="F1215" s="74">
        <f t="shared" si="647"/>
        <v>0</v>
      </c>
      <c r="G1215" s="74"/>
      <c r="H1215" s="74">
        <f t="shared" si="656"/>
        <v>0</v>
      </c>
      <c r="I1215" s="71">
        <v>246</v>
      </c>
      <c r="J1215" s="73">
        <v>0</v>
      </c>
      <c r="K1215" s="74"/>
      <c r="L1215" s="74">
        <f t="shared" si="658"/>
        <v>0</v>
      </c>
      <c r="M1215" s="74"/>
      <c r="N1215" s="74">
        <f t="shared" si="662"/>
        <v>0</v>
      </c>
      <c r="O1215" s="74"/>
      <c r="P1215" s="67">
        <f>+N1215+M1215</f>
        <v>0</v>
      </c>
      <c r="Q1215" s="87" t="e">
        <f t="shared" si="637"/>
        <v>#DIV/0!</v>
      </c>
      <c r="R1215" s="206"/>
    </row>
    <row r="1216" spans="1:19" ht="14.1" customHeight="1" x14ac:dyDescent="0.2">
      <c r="A1216" s="89"/>
      <c r="B1216" s="90">
        <v>5540</v>
      </c>
      <c r="C1216" s="72" t="s">
        <v>1524</v>
      </c>
      <c r="D1216" s="102">
        <v>6000</v>
      </c>
      <c r="E1216" s="71"/>
      <c r="F1216" s="74">
        <f t="shared" si="647"/>
        <v>6000</v>
      </c>
      <c r="G1216" s="74"/>
      <c r="H1216" s="74">
        <f t="shared" si="656"/>
        <v>6000</v>
      </c>
      <c r="I1216" s="71">
        <v>3579</v>
      </c>
      <c r="J1216" s="73">
        <v>6000</v>
      </c>
      <c r="K1216" s="74">
        <v>-2000</v>
      </c>
      <c r="L1216" s="74">
        <f t="shared" si="658"/>
        <v>4000</v>
      </c>
      <c r="M1216" s="92">
        <v>1892</v>
      </c>
      <c r="N1216" s="74">
        <f t="shared" si="662"/>
        <v>5892</v>
      </c>
      <c r="O1216" s="74">
        <v>6977</v>
      </c>
      <c r="P1216" s="67">
        <f>6000+2593</f>
        <v>8593</v>
      </c>
      <c r="Q1216" s="87">
        <f t="shared" si="637"/>
        <v>0.45841819416157503</v>
      </c>
      <c r="R1216" s="203" t="s">
        <v>1523</v>
      </c>
    </row>
    <row r="1217" spans="1:20" ht="14.1" customHeight="1" x14ac:dyDescent="0.2">
      <c r="A1217" s="146" t="s">
        <v>703</v>
      </c>
      <c r="B1217" s="147"/>
      <c r="C1217" s="148" t="s">
        <v>385</v>
      </c>
      <c r="D1217" s="149">
        <v>464286</v>
      </c>
      <c r="E1217" s="150"/>
      <c r="F1217" s="137">
        <f t="shared" si="647"/>
        <v>464286</v>
      </c>
      <c r="G1217" s="137">
        <v>0</v>
      </c>
      <c r="H1217" s="137">
        <f>+H1218+H1219</f>
        <v>464286</v>
      </c>
      <c r="I1217" s="151">
        <f>+I1218+I1219</f>
        <v>368014</v>
      </c>
      <c r="J1217" s="152">
        <f>+J1218+J1219</f>
        <v>464286</v>
      </c>
      <c r="K1217" s="152">
        <f t="shared" ref="K1217:L1217" si="663">+K1218+K1219</f>
        <v>25997</v>
      </c>
      <c r="L1217" s="152">
        <f t="shared" si="663"/>
        <v>490283</v>
      </c>
      <c r="M1217" s="152">
        <f t="shared" ref="M1217:N1217" si="664">+M1218+M1219</f>
        <v>0</v>
      </c>
      <c r="N1217" s="152">
        <f t="shared" si="664"/>
        <v>490283</v>
      </c>
      <c r="O1217" s="152">
        <f t="shared" ref="O1217:P1217" si="665">+O1218+O1219</f>
        <v>396255</v>
      </c>
      <c r="P1217" s="152">
        <f t="shared" si="665"/>
        <v>579616</v>
      </c>
      <c r="Q1217" s="87">
        <f t="shared" si="637"/>
        <v>0.18220701105280013</v>
      </c>
      <c r="R1217" s="203"/>
    </row>
    <row r="1218" spans="1:20" ht="14.1" customHeight="1" x14ac:dyDescent="0.2">
      <c r="A1218" s="89"/>
      <c r="B1218" s="95" t="s">
        <v>101</v>
      </c>
      <c r="C1218" s="96" t="s">
        <v>102</v>
      </c>
      <c r="D1218" s="43">
        <v>452846</v>
      </c>
      <c r="E1218" s="71"/>
      <c r="F1218" s="98">
        <f t="shared" si="647"/>
        <v>452846</v>
      </c>
      <c r="G1218" s="98"/>
      <c r="H1218" s="98">
        <f>+G1218+F1218</f>
        <v>452846</v>
      </c>
      <c r="I1218" s="97">
        <v>362346</v>
      </c>
      <c r="J1218" s="99">
        <v>452846</v>
      </c>
      <c r="K1218" s="98">
        <v>24082</v>
      </c>
      <c r="L1218" s="182">
        <f>+K1218+J1218</f>
        <v>476928</v>
      </c>
      <c r="M1218" s="182"/>
      <c r="N1218" s="182">
        <f t="shared" ref="N1218:N1222" si="666">+M1218+L1218</f>
        <v>476928</v>
      </c>
      <c r="O1218" s="182">
        <v>389830</v>
      </c>
      <c r="P1218" s="78">
        <v>566988</v>
      </c>
      <c r="Q1218" s="87">
        <f t="shared" si="637"/>
        <v>0.18883353462157809</v>
      </c>
      <c r="R1218" s="204" t="s">
        <v>1023</v>
      </c>
    </row>
    <row r="1219" spans="1:20" ht="14.1" customHeight="1" x14ac:dyDescent="0.2">
      <c r="A1219" s="89"/>
      <c r="B1219" s="95" t="s">
        <v>103</v>
      </c>
      <c r="C1219" s="96" t="s">
        <v>104</v>
      </c>
      <c r="D1219" s="43">
        <v>11440</v>
      </c>
      <c r="E1219" s="71"/>
      <c r="F1219" s="98">
        <f t="shared" si="647"/>
        <v>11440</v>
      </c>
      <c r="G1219" s="98"/>
      <c r="H1219" s="98">
        <f t="shared" ref="H1219:H1221" si="667">+G1219+F1219</f>
        <v>11440</v>
      </c>
      <c r="I1219" s="97">
        <f>+I1220+I1221</f>
        <v>5668</v>
      </c>
      <c r="J1219" s="99">
        <f>+J1220+J1221</f>
        <v>11440</v>
      </c>
      <c r="K1219" s="98">
        <f>+K1220+K1221+K1222</f>
        <v>1915</v>
      </c>
      <c r="L1219" s="170">
        <f>+L1220+L1221+L1222</f>
        <v>13355</v>
      </c>
      <c r="M1219" s="170">
        <f t="shared" ref="M1219:N1219" si="668">+M1220+M1221+M1222</f>
        <v>0</v>
      </c>
      <c r="N1219" s="170">
        <f t="shared" si="668"/>
        <v>13355</v>
      </c>
      <c r="O1219" s="170">
        <f t="shared" ref="O1219" si="669">+O1220+O1221+O1222</f>
        <v>6425</v>
      </c>
      <c r="P1219" s="170">
        <f t="shared" ref="P1219" si="670">+P1220+P1221+P1222</f>
        <v>12628</v>
      </c>
      <c r="Q1219" s="87">
        <f t="shared" si="637"/>
        <v>-5.443654062149008E-2</v>
      </c>
      <c r="R1219" s="203"/>
    </row>
    <row r="1220" spans="1:20" ht="14.1" customHeight="1" x14ac:dyDescent="0.2">
      <c r="A1220" s="89"/>
      <c r="B1220" s="90">
        <v>5504</v>
      </c>
      <c r="C1220" s="72" t="s">
        <v>118</v>
      </c>
      <c r="D1220" s="102">
        <v>1898</v>
      </c>
      <c r="E1220" s="71"/>
      <c r="F1220" s="74">
        <f t="shared" si="647"/>
        <v>1898</v>
      </c>
      <c r="G1220" s="74"/>
      <c r="H1220" s="74">
        <f t="shared" si="667"/>
        <v>1898</v>
      </c>
      <c r="I1220" s="71">
        <v>979</v>
      </c>
      <c r="J1220" s="73">
        <v>1898</v>
      </c>
      <c r="K1220" s="74">
        <v>365</v>
      </c>
      <c r="L1220" s="74">
        <f t="shared" ref="L1220:L1222" si="671">+K1220+J1220</f>
        <v>2263</v>
      </c>
      <c r="M1220" s="74"/>
      <c r="N1220" s="74">
        <f t="shared" si="666"/>
        <v>2263</v>
      </c>
      <c r="O1220" s="74">
        <v>1688</v>
      </c>
      <c r="P1220" s="67">
        <v>1848</v>
      </c>
      <c r="Q1220" s="87">
        <f t="shared" si="637"/>
        <v>-0.18338488731771985</v>
      </c>
      <c r="R1220" s="203"/>
    </row>
    <row r="1221" spans="1:20" ht="14.1" customHeight="1" x14ac:dyDescent="0.2">
      <c r="A1221" s="89"/>
      <c r="B1221" s="90">
        <v>5524</v>
      </c>
      <c r="C1221" s="72" t="s">
        <v>375</v>
      </c>
      <c r="D1221" s="102">
        <v>9542</v>
      </c>
      <c r="E1221" s="71"/>
      <c r="F1221" s="74">
        <f t="shared" si="647"/>
        <v>9542</v>
      </c>
      <c r="G1221" s="74"/>
      <c r="H1221" s="74">
        <f t="shared" si="667"/>
        <v>9542</v>
      </c>
      <c r="I1221" s="71">
        <v>4689</v>
      </c>
      <c r="J1221" s="73">
        <v>9542</v>
      </c>
      <c r="K1221" s="74">
        <v>188</v>
      </c>
      <c r="L1221" s="74">
        <f t="shared" si="671"/>
        <v>9730</v>
      </c>
      <c r="M1221" s="74"/>
      <c r="N1221" s="74">
        <f t="shared" si="666"/>
        <v>9730</v>
      </c>
      <c r="O1221" s="74">
        <f>321+3306</f>
        <v>3627</v>
      </c>
      <c r="P1221" s="67">
        <v>8778</v>
      </c>
      <c r="Q1221" s="87">
        <f t="shared" si="637"/>
        <v>-9.7841726618705036E-2</v>
      </c>
      <c r="R1221" s="203"/>
    </row>
    <row r="1222" spans="1:20" ht="14.1" customHeight="1" x14ac:dyDescent="0.2">
      <c r="A1222" s="89"/>
      <c r="B1222" s="90">
        <v>5525</v>
      </c>
      <c r="C1222" s="72" t="s">
        <v>394</v>
      </c>
      <c r="D1222" s="102"/>
      <c r="E1222" s="71"/>
      <c r="F1222" s="74"/>
      <c r="G1222" s="74"/>
      <c r="H1222" s="74"/>
      <c r="I1222" s="71"/>
      <c r="J1222" s="73"/>
      <c r="K1222" s="74">
        <v>1362</v>
      </c>
      <c r="L1222" s="74">
        <f t="shared" si="671"/>
        <v>1362</v>
      </c>
      <c r="M1222" s="74"/>
      <c r="N1222" s="74">
        <f t="shared" si="666"/>
        <v>1362</v>
      </c>
      <c r="O1222" s="74">
        <v>1110</v>
      </c>
      <c r="P1222" s="67">
        <v>2002</v>
      </c>
      <c r="Q1222" s="87">
        <f t="shared" si="637"/>
        <v>0.4698972099853157</v>
      </c>
      <c r="R1222" s="203"/>
    </row>
    <row r="1223" spans="1:20" ht="14.1" customHeight="1" x14ac:dyDescent="0.2">
      <c r="A1223" s="164" t="s">
        <v>710</v>
      </c>
      <c r="B1223" s="147"/>
      <c r="C1223" s="148" t="s">
        <v>386</v>
      </c>
      <c r="D1223" s="149">
        <v>56200</v>
      </c>
      <c r="E1223" s="150"/>
      <c r="F1223" s="137">
        <f>+E1223+D1223</f>
        <v>56200</v>
      </c>
      <c r="G1223" s="137">
        <v>0</v>
      </c>
      <c r="H1223" s="137">
        <f>+H1224</f>
        <v>56200</v>
      </c>
      <c r="I1223" s="151">
        <f>+I1224</f>
        <v>45299</v>
      </c>
      <c r="J1223" s="152">
        <f>+J1224</f>
        <v>63421</v>
      </c>
      <c r="K1223" s="137">
        <f>+K1224</f>
        <v>0</v>
      </c>
      <c r="L1223" s="137">
        <f>+L1224</f>
        <v>63421</v>
      </c>
      <c r="M1223" s="137">
        <f t="shared" ref="M1223:P1223" si="672">+M1224</f>
        <v>0</v>
      </c>
      <c r="N1223" s="137">
        <f t="shared" si="672"/>
        <v>63421</v>
      </c>
      <c r="O1223" s="137">
        <f t="shared" si="672"/>
        <v>49848</v>
      </c>
      <c r="P1223" s="137">
        <f t="shared" si="672"/>
        <v>71080</v>
      </c>
      <c r="Q1223" s="87">
        <f t="shared" si="637"/>
        <v>0.12076441557212911</v>
      </c>
      <c r="R1223" s="203"/>
    </row>
    <row r="1224" spans="1:20" ht="14.1" customHeight="1" x14ac:dyDescent="0.2">
      <c r="A1224" s="89"/>
      <c r="B1224" s="95" t="s">
        <v>101</v>
      </c>
      <c r="C1224" s="96" t="s">
        <v>146</v>
      </c>
      <c r="D1224" s="102">
        <v>56200</v>
      </c>
      <c r="E1224" s="104"/>
      <c r="F1224" s="72">
        <v>56200</v>
      </c>
      <c r="G1224" s="72"/>
      <c r="H1224" s="72">
        <v>56200</v>
      </c>
      <c r="I1224" s="71">
        <v>45299</v>
      </c>
      <c r="J1224" s="73">
        <v>63421</v>
      </c>
      <c r="K1224" s="74"/>
      <c r="L1224" s="140">
        <f>+K1224+J1224</f>
        <v>63421</v>
      </c>
      <c r="M1224" s="140"/>
      <c r="N1224" s="140">
        <f t="shared" ref="N1224" si="673">+M1224+L1224</f>
        <v>63421</v>
      </c>
      <c r="O1224" s="140">
        <v>49848</v>
      </c>
      <c r="P1224" s="67">
        <v>71080</v>
      </c>
      <c r="Q1224" s="87">
        <f t="shared" si="637"/>
        <v>0.12076441557212911</v>
      </c>
      <c r="R1224" s="204" t="s">
        <v>1010</v>
      </c>
      <c r="T1224" s="56" t="s">
        <v>1369</v>
      </c>
    </row>
    <row r="1225" spans="1:20" ht="14.1" customHeight="1" x14ac:dyDescent="0.2">
      <c r="A1225" s="146" t="s">
        <v>704</v>
      </c>
      <c r="B1225" s="147"/>
      <c r="C1225" s="148" t="s">
        <v>1418</v>
      </c>
      <c r="D1225" s="149">
        <v>189212</v>
      </c>
      <c r="E1225" s="150">
        <f>+E1226+E1227</f>
        <v>4259</v>
      </c>
      <c r="F1225" s="137">
        <f t="shared" ref="F1225:F1255" si="674">+E1225+D1225</f>
        <v>193471</v>
      </c>
      <c r="G1225" s="137">
        <f>+G1226+G1227</f>
        <v>10442</v>
      </c>
      <c r="H1225" s="137">
        <f>+H1226+H1227</f>
        <v>203913</v>
      </c>
      <c r="I1225" s="151">
        <f>+I1226+I1227</f>
        <v>139507</v>
      </c>
      <c r="J1225" s="152">
        <f>+J1226+J1227</f>
        <v>231456</v>
      </c>
      <c r="K1225" s="152">
        <f t="shared" ref="K1225:L1225" si="675">+K1226+K1227</f>
        <v>-2972.369999999999</v>
      </c>
      <c r="L1225" s="152">
        <f t="shared" si="675"/>
        <v>228483.63</v>
      </c>
      <c r="M1225" s="152">
        <f t="shared" ref="M1225:N1225" si="676">+M1226+M1227</f>
        <v>4045</v>
      </c>
      <c r="N1225" s="152">
        <f t="shared" si="676"/>
        <v>232528.63</v>
      </c>
      <c r="O1225" s="152">
        <f t="shared" ref="O1225:P1225" si="677">+O1226+O1227</f>
        <v>173551</v>
      </c>
      <c r="P1225" s="152">
        <f t="shared" si="677"/>
        <v>253231</v>
      </c>
      <c r="Q1225" s="87">
        <f t="shared" si="637"/>
        <v>8.9031488294581171E-2</v>
      </c>
      <c r="R1225" s="203" t="s">
        <v>1521</v>
      </c>
    </row>
    <row r="1226" spans="1:20" ht="14.1" customHeight="1" x14ac:dyDescent="0.2">
      <c r="A1226" s="89" t="s">
        <v>387</v>
      </c>
      <c r="B1226" s="95" t="s">
        <v>101</v>
      </c>
      <c r="C1226" s="96" t="s">
        <v>102</v>
      </c>
      <c r="D1226" s="43">
        <v>102056</v>
      </c>
      <c r="E1226" s="71"/>
      <c r="F1226" s="98">
        <f t="shared" si="674"/>
        <v>102056</v>
      </c>
      <c r="G1226" s="98"/>
      <c r="H1226" s="98">
        <f>+G1226+F1226</f>
        <v>102056</v>
      </c>
      <c r="I1226" s="97">
        <v>76114</v>
      </c>
      <c r="J1226" s="99">
        <v>116406</v>
      </c>
      <c r="K1226" s="98">
        <v>0</v>
      </c>
      <c r="L1226" s="182">
        <f>+K1226+J1226</f>
        <v>116406</v>
      </c>
      <c r="M1226" s="109">
        <v>4045</v>
      </c>
      <c r="N1226" s="182">
        <f t="shared" ref="N1226" si="678">+M1226+L1226</f>
        <v>120451</v>
      </c>
      <c r="O1226" s="182">
        <v>91222</v>
      </c>
      <c r="P1226" s="78">
        <v>131402</v>
      </c>
      <c r="Q1226" s="87">
        <f t="shared" si="637"/>
        <v>9.0916638301051886E-2</v>
      </c>
      <c r="R1226" s="204" t="s">
        <v>1027</v>
      </c>
    </row>
    <row r="1227" spans="1:20" ht="14.1" customHeight="1" x14ac:dyDescent="0.2">
      <c r="A1227" s="89"/>
      <c r="B1227" s="95" t="s">
        <v>103</v>
      </c>
      <c r="C1227" s="96" t="s">
        <v>104</v>
      </c>
      <c r="D1227" s="43">
        <v>87156</v>
      </c>
      <c r="E1227" s="71">
        <f>+E1228+E1229+E1230+E1231+E1241+E1242+E1243+E1246+E1248+E1249+E1250</f>
        <v>4259</v>
      </c>
      <c r="F1227" s="98">
        <f t="shared" si="674"/>
        <v>91415</v>
      </c>
      <c r="G1227" s="98">
        <f>+G1243+G1250</f>
        <v>10442</v>
      </c>
      <c r="H1227" s="98">
        <f t="shared" ref="H1227:H1250" si="679">+G1227+F1227</f>
        <v>101857</v>
      </c>
      <c r="I1227" s="97">
        <f>+I1228+I1229+I1230+I1231+I1241+I1242+I1243+I1246+I1248+I1249+I1250</f>
        <v>63393</v>
      </c>
      <c r="J1227" s="99">
        <f>+J1228+J1229+J1230+J1231+J1241+J1242+J1243+J1244+J1245+J1246+J1247+J1248+J1249+J1250</f>
        <v>115050</v>
      </c>
      <c r="K1227" s="99">
        <f>+K1228+K1229+K1230+K1231+K1241+K1242+K1243+K1244+K1245+K1246+K1247+K1248+K1249+K1250</f>
        <v>-2972.369999999999</v>
      </c>
      <c r="L1227" s="170">
        <f>+L1228+L1229+L1230+L1231+L1241+L1242+L1243+L1244+L1245+L1246+L1247+L1248+L1249+L1250</f>
        <v>112077.63</v>
      </c>
      <c r="M1227" s="170">
        <f t="shared" ref="M1227:N1227" si="680">+M1228+M1229+M1230+M1231+M1241+M1242+M1243+M1244+M1245+M1246+M1247+M1248+M1249+M1250</f>
        <v>0</v>
      </c>
      <c r="N1227" s="170">
        <f t="shared" si="680"/>
        <v>112077.63</v>
      </c>
      <c r="O1227" s="170">
        <f t="shared" ref="O1227" si="681">+O1228+O1229+O1230+O1231+O1241+O1242+O1243+O1244+O1245+O1246+O1247+O1248+O1249+O1250</f>
        <v>82329</v>
      </c>
      <c r="P1227" s="170">
        <f t="shared" ref="P1227" si="682">+P1228+P1229+P1230+P1231+P1241+P1242+P1243+P1244+P1245+P1246+P1247+P1248+P1249+P1250</f>
        <v>121829</v>
      </c>
      <c r="Q1227" s="87">
        <f t="shared" si="637"/>
        <v>8.7005497885706495E-2</v>
      </c>
      <c r="R1227" s="203"/>
    </row>
    <row r="1228" spans="1:20" ht="14.1" customHeight="1" x14ac:dyDescent="0.2">
      <c r="A1228" s="89"/>
      <c r="B1228" s="90">
        <v>5500</v>
      </c>
      <c r="C1228" s="72" t="s">
        <v>180</v>
      </c>
      <c r="D1228" s="102">
        <v>3200</v>
      </c>
      <c r="E1228" s="71"/>
      <c r="F1228" s="74">
        <f t="shared" si="674"/>
        <v>3200</v>
      </c>
      <c r="G1228" s="74"/>
      <c r="H1228" s="74">
        <f t="shared" si="679"/>
        <v>3200</v>
      </c>
      <c r="I1228" s="71">
        <v>2239</v>
      </c>
      <c r="J1228" s="73">
        <v>3750</v>
      </c>
      <c r="K1228" s="74"/>
      <c r="L1228" s="74">
        <f>+K1228+J1228</f>
        <v>3750</v>
      </c>
      <c r="M1228" s="74"/>
      <c r="N1228" s="74">
        <f t="shared" ref="N1228:N1243" si="683">+M1228+L1228</f>
        <v>3750</v>
      </c>
      <c r="O1228" s="74">
        <v>2494</v>
      </c>
      <c r="P1228" s="67">
        <v>3200</v>
      </c>
      <c r="Q1228" s="87">
        <f t="shared" si="637"/>
        <v>-0.14666666666666667</v>
      </c>
      <c r="R1228" s="203"/>
    </row>
    <row r="1229" spans="1:20" ht="14.1" customHeight="1" x14ac:dyDescent="0.2">
      <c r="A1229" s="89"/>
      <c r="B1229" s="90">
        <v>5503</v>
      </c>
      <c r="C1229" s="72" t="s">
        <v>107</v>
      </c>
      <c r="D1229" s="102">
        <v>0</v>
      </c>
      <c r="E1229" s="71"/>
      <c r="F1229" s="74">
        <f t="shared" si="674"/>
        <v>0</v>
      </c>
      <c r="G1229" s="74"/>
      <c r="H1229" s="74">
        <f t="shared" si="679"/>
        <v>0</v>
      </c>
      <c r="I1229" s="71"/>
      <c r="J1229" s="73"/>
      <c r="K1229" s="74"/>
      <c r="L1229" s="74">
        <f t="shared" ref="L1229:L1250" si="684">+K1229+J1229</f>
        <v>0</v>
      </c>
      <c r="M1229" s="74"/>
      <c r="N1229" s="74">
        <f t="shared" si="683"/>
        <v>0</v>
      </c>
      <c r="O1229" s="74"/>
      <c r="P1229" s="67">
        <f>+N1229+M1229</f>
        <v>0</v>
      </c>
      <c r="Q1229" s="87" t="e">
        <f t="shared" si="637"/>
        <v>#DIV/0!</v>
      </c>
      <c r="R1229" s="203"/>
    </row>
    <row r="1230" spans="1:20" ht="14.1" customHeight="1" x14ac:dyDescent="0.2">
      <c r="A1230" s="89"/>
      <c r="B1230" s="90">
        <v>5504</v>
      </c>
      <c r="C1230" s="72" t="s">
        <v>118</v>
      </c>
      <c r="D1230" s="102">
        <v>500</v>
      </c>
      <c r="E1230" s="71"/>
      <c r="F1230" s="74">
        <f t="shared" si="674"/>
        <v>500</v>
      </c>
      <c r="G1230" s="74"/>
      <c r="H1230" s="74">
        <f t="shared" si="679"/>
        <v>500</v>
      </c>
      <c r="I1230" s="71">
        <v>489</v>
      </c>
      <c r="J1230" s="73">
        <v>2700</v>
      </c>
      <c r="K1230" s="74"/>
      <c r="L1230" s="74">
        <f t="shared" si="684"/>
        <v>2700</v>
      </c>
      <c r="M1230" s="74"/>
      <c r="N1230" s="74">
        <f t="shared" si="683"/>
        <v>2700</v>
      </c>
      <c r="O1230" s="74">
        <v>2443</v>
      </c>
      <c r="P1230" s="67">
        <v>3000</v>
      </c>
      <c r="Q1230" s="87">
        <f t="shared" si="637"/>
        <v>0.1111111111111111</v>
      </c>
      <c r="R1230" s="203"/>
    </row>
    <row r="1231" spans="1:20" ht="14.1" customHeight="1" x14ac:dyDescent="0.2">
      <c r="A1231" s="89"/>
      <c r="B1231" s="90">
        <v>5511</v>
      </c>
      <c r="C1231" s="72" t="s">
        <v>362</v>
      </c>
      <c r="D1231" s="102">
        <v>46200</v>
      </c>
      <c r="E1231" s="71"/>
      <c r="F1231" s="74">
        <f t="shared" si="674"/>
        <v>46200</v>
      </c>
      <c r="G1231" s="74"/>
      <c r="H1231" s="74">
        <f t="shared" si="679"/>
        <v>46200</v>
      </c>
      <c r="I1231" s="71">
        <f>+I1232+I1233+I1234+I1235+I1236+I1237+I1238+I1239+I1240</f>
        <v>32976</v>
      </c>
      <c r="J1231" s="73">
        <f>SUM(J1232:J1240)</f>
        <v>74100</v>
      </c>
      <c r="K1231" s="73">
        <f>SUM(K1232:K1240)</f>
        <v>-20000</v>
      </c>
      <c r="L1231" s="74">
        <f>SUM(L1232:L1240)</f>
        <v>54100</v>
      </c>
      <c r="M1231" s="74">
        <f t="shared" ref="M1231:O1231" si="685">SUM(M1232:M1240)</f>
        <v>0</v>
      </c>
      <c r="N1231" s="74">
        <f t="shared" si="685"/>
        <v>54100</v>
      </c>
      <c r="O1231" s="74">
        <f t="shared" si="685"/>
        <v>43149</v>
      </c>
      <c r="P1231" s="67">
        <f t="shared" ref="P1231" si="686">SUM(P1232:P1240)</f>
        <v>60829</v>
      </c>
      <c r="Q1231" s="87">
        <f t="shared" si="637"/>
        <v>0.12438077634011091</v>
      </c>
      <c r="R1231" s="206"/>
      <c r="S1231" s="53"/>
    </row>
    <row r="1232" spans="1:20" ht="14.1" customHeight="1" x14ac:dyDescent="0.2">
      <c r="A1232" s="89"/>
      <c r="B1232" s="90"/>
      <c r="C1232" s="154" t="s">
        <v>223</v>
      </c>
      <c r="D1232" s="157">
        <v>3500</v>
      </c>
      <c r="E1232" s="71"/>
      <c r="F1232" s="153">
        <f t="shared" si="674"/>
        <v>3500</v>
      </c>
      <c r="G1232" s="153"/>
      <c r="H1232" s="153">
        <f t="shared" si="679"/>
        <v>3500</v>
      </c>
      <c r="I1232" s="158"/>
      <c r="J1232" s="159"/>
      <c r="K1232" s="153"/>
      <c r="L1232" s="153">
        <f t="shared" si="684"/>
        <v>0</v>
      </c>
      <c r="M1232" s="153"/>
      <c r="N1232" s="153">
        <f t="shared" si="683"/>
        <v>0</v>
      </c>
      <c r="O1232" s="153"/>
      <c r="P1232" s="155">
        <f>+N1232+M1232</f>
        <v>0</v>
      </c>
      <c r="Q1232" s="87" t="e">
        <f t="shared" si="637"/>
        <v>#DIV/0!</v>
      </c>
      <c r="R1232" s="206"/>
    </row>
    <row r="1233" spans="1:18" ht="14.1" customHeight="1" x14ac:dyDescent="0.2">
      <c r="A1233" s="89"/>
      <c r="B1233" s="90"/>
      <c r="C1233" s="154" t="s">
        <v>224</v>
      </c>
      <c r="D1233" s="157">
        <v>26000</v>
      </c>
      <c r="E1233" s="71"/>
      <c r="F1233" s="153">
        <f t="shared" si="674"/>
        <v>26000</v>
      </c>
      <c r="G1233" s="153"/>
      <c r="H1233" s="153">
        <f t="shared" si="679"/>
        <v>26000</v>
      </c>
      <c r="I1233" s="158">
        <v>17851</v>
      </c>
      <c r="J1233" s="159">
        <v>31200</v>
      </c>
      <c r="K1233" s="153"/>
      <c r="L1233" s="153">
        <f t="shared" si="684"/>
        <v>31200</v>
      </c>
      <c r="M1233" s="153"/>
      <c r="N1233" s="153">
        <f t="shared" si="683"/>
        <v>31200</v>
      </c>
      <c r="O1233" s="153">
        <v>21288</v>
      </c>
      <c r="P1233" s="155">
        <v>40000</v>
      </c>
      <c r="Q1233" s="87">
        <f t="shared" si="637"/>
        <v>0.28205128205128205</v>
      </c>
      <c r="R1233" s="206"/>
    </row>
    <row r="1234" spans="1:18" ht="14.1" customHeight="1" x14ac:dyDescent="0.2">
      <c r="A1234" s="89"/>
      <c r="B1234" s="90"/>
      <c r="C1234" s="154" t="s">
        <v>225</v>
      </c>
      <c r="D1234" s="157">
        <v>1200</v>
      </c>
      <c r="E1234" s="71"/>
      <c r="F1234" s="153">
        <f t="shared" si="674"/>
        <v>1200</v>
      </c>
      <c r="G1234" s="153"/>
      <c r="H1234" s="153">
        <f t="shared" si="679"/>
        <v>1200</v>
      </c>
      <c r="I1234" s="158">
        <v>685</v>
      </c>
      <c r="J1234" s="159">
        <v>1200</v>
      </c>
      <c r="K1234" s="153"/>
      <c r="L1234" s="153">
        <f t="shared" si="684"/>
        <v>1200</v>
      </c>
      <c r="M1234" s="153"/>
      <c r="N1234" s="153">
        <f t="shared" si="683"/>
        <v>1200</v>
      </c>
      <c r="O1234" s="153">
        <v>788</v>
      </c>
      <c r="P1234" s="155">
        <v>1000</v>
      </c>
      <c r="Q1234" s="87">
        <f t="shared" si="637"/>
        <v>-0.16666666666666666</v>
      </c>
      <c r="R1234" s="206"/>
    </row>
    <row r="1235" spans="1:18" ht="14.1" customHeight="1" x14ac:dyDescent="0.2">
      <c r="A1235" s="89"/>
      <c r="B1235" s="90"/>
      <c r="C1235" s="154" t="s">
        <v>367</v>
      </c>
      <c r="D1235" s="157">
        <v>5000</v>
      </c>
      <c r="E1235" s="71"/>
      <c r="F1235" s="153">
        <f t="shared" si="674"/>
        <v>5000</v>
      </c>
      <c r="G1235" s="153"/>
      <c r="H1235" s="153">
        <f t="shared" si="679"/>
        <v>5000</v>
      </c>
      <c r="I1235" s="158">
        <v>4626</v>
      </c>
      <c r="J1235" s="159">
        <v>5500</v>
      </c>
      <c r="K1235" s="153"/>
      <c r="L1235" s="153">
        <f t="shared" si="684"/>
        <v>5500</v>
      </c>
      <c r="M1235" s="153"/>
      <c r="N1235" s="153">
        <f t="shared" si="683"/>
        <v>5500</v>
      </c>
      <c r="O1235" s="153">
        <v>5347</v>
      </c>
      <c r="P1235" s="155">
        <v>5000</v>
      </c>
      <c r="Q1235" s="87">
        <f t="shared" si="637"/>
        <v>-9.0909090909090912E-2</v>
      </c>
      <c r="R1235" s="206"/>
    </row>
    <row r="1236" spans="1:18" ht="14.1" customHeight="1" x14ac:dyDescent="0.2">
      <c r="A1236" s="89"/>
      <c r="B1236" s="90"/>
      <c r="C1236" s="154" t="s">
        <v>227</v>
      </c>
      <c r="D1236" s="157">
        <v>10000</v>
      </c>
      <c r="E1236" s="71"/>
      <c r="F1236" s="153">
        <f t="shared" si="674"/>
        <v>10000</v>
      </c>
      <c r="G1236" s="153"/>
      <c r="H1236" s="153">
        <f t="shared" si="679"/>
        <v>10000</v>
      </c>
      <c r="I1236" s="158">
        <v>4048</v>
      </c>
      <c r="J1236" s="159">
        <v>5000</v>
      </c>
      <c r="K1236" s="153"/>
      <c r="L1236" s="153">
        <f t="shared" si="684"/>
        <v>5000</v>
      </c>
      <c r="M1236" s="153"/>
      <c r="N1236" s="153">
        <f t="shared" si="683"/>
        <v>5000</v>
      </c>
      <c r="O1236" s="153">
        <v>7613</v>
      </c>
      <c r="P1236" s="155">
        <v>4000</v>
      </c>
      <c r="Q1236" s="87">
        <f t="shared" si="637"/>
        <v>-0.2</v>
      </c>
      <c r="R1236" s="203" t="s">
        <v>1025</v>
      </c>
    </row>
    <row r="1237" spans="1:18" ht="14.1" customHeight="1" x14ac:dyDescent="0.2">
      <c r="A1237" s="89"/>
      <c r="B1237" s="90"/>
      <c r="C1237" s="154" t="s">
        <v>388</v>
      </c>
      <c r="D1237" s="157">
        <v>0</v>
      </c>
      <c r="E1237" s="71"/>
      <c r="F1237" s="153">
        <f t="shared" si="674"/>
        <v>0</v>
      </c>
      <c r="G1237" s="153"/>
      <c r="H1237" s="153">
        <f t="shared" si="679"/>
        <v>0</v>
      </c>
      <c r="I1237" s="158">
        <v>490</v>
      </c>
      <c r="J1237" s="159">
        <v>700</v>
      </c>
      <c r="K1237" s="153"/>
      <c r="L1237" s="153">
        <f t="shared" si="684"/>
        <v>700</v>
      </c>
      <c r="M1237" s="153"/>
      <c r="N1237" s="153">
        <f t="shared" si="683"/>
        <v>700</v>
      </c>
      <c r="O1237" s="153">
        <v>410</v>
      </c>
      <c r="P1237" s="155">
        <v>600</v>
      </c>
      <c r="Q1237" s="87">
        <f t="shared" si="637"/>
        <v>-0.14285714285714285</v>
      </c>
      <c r="R1237" s="203"/>
    </row>
    <row r="1238" spans="1:18" ht="14.1" customHeight="1" x14ac:dyDescent="0.2">
      <c r="A1238" s="89"/>
      <c r="B1238" s="90"/>
      <c r="C1238" s="154" t="s">
        <v>389</v>
      </c>
      <c r="D1238" s="157">
        <v>0</v>
      </c>
      <c r="E1238" s="71"/>
      <c r="F1238" s="153">
        <f t="shared" si="674"/>
        <v>0</v>
      </c>
      <c r="G1238" s="153"/>
      <c r="H1238" s="153">
        <f t="shared" si="679"/>
        <v>0</v>
      </c>
      <c r="I1238" s="158">
        <v>4926</v>
      </c>
      <c r="J1238" s="159">
        <v>30000</v>
      </c>
      <c r="K1238" s="153">
        <v>-20000</v>
      </c>
      <c r="L1238" s="153">
        <f t="shared" si="684"/>
        <v>10000</v>
      </c>
      <c r="M1238" s="153"/>
      <c r="N1238" s="153">
        <f t="shared" si="683"/>
        <v>10000</v>
      </c>
      <c r="O1238" s="153">
        <v>5634</v>
      </c>
      <c r="P1238" s="155">
        <v>10000</v>
      </c>
      <c r="Q1238" s="87">
        <f t="shared" si="637"/>
        <v>0</v>
      </c>
      <c r="R1238" s="203" t="s">
        <v>1608</v>
      </c>
    </row>
    <row r="1239" spans="1:18" ht="14.1" customHeight="1" x14ac:dyDescent="0.2">
      <c r="A1239" s="89"/>
      <c r="B1239" s="90"/>
      <c r="C1239" s="154" t="s">
        <v>390</v>
      </c>
      <c r="D1239" s="157">
        <v>0</v>
      </c>
      <c r="E1239" s="71"/>
      <c r="F1239" s="153">
        <f t="shared" si="674"/>
        <v>0</v>
      </c>
      <c r="G1239" s="153"/>
      <c r="H1239" s="153">
        <f t="shared" si="679"/>
        <v>0</v>
      </c>
      <c r="I1239" s="158">
        <v>350</v>
      </c>
      <c r="J1239" s="159"/>
      <c r="K1239" s="153"/>
      <c r="L1239" s="153">
        <f t="shared" si="684"/>
        <v>0</v>
      </c>
      <c r="M1239" s="153"/>
      <c r="N1239" s="153">
        <f t="shared" si="683"/>
        <v>0</v>
      </c>
      <c r="O1239" s="153">
        <v>1111</v>
      </c>
      <c r="P1239" s="155">
        <v>0</v>
      </c>
      <c r="Q1239" s="87" t="e">
        <f t="shared" si="637"/>
        <v>#DIV/0!</v>
      </c>
      <c r="R1239" s="206"/>
    </row>
    <row r="1240" spans="1:18" ht="14.1" customHeight="1" x14ac:dyDescent="0.2">
      <c r="A1240" s="89"/>
      <c r="B1240" s="90"/>
      <c r="C1240" s="154" t="s">
        <v>391</v>
      </c>
      <c r="D1240" s="157">
        <v>500</v>
      </c>
      <c r="E1240" s="71"/>
      <c r="F1240" s="153">
        <f t="shared" si="674"/>
        <v>500</v>
      </c>
      <c r="G1240" s="153"/>
      <c r="H1240" s="153">
        <f t="shared" si="679"/>
        <v>500</v>
      </c>
      <c r="I1240" s="158"/>
      <c r="J1240" s="159">
        <v>500</v>
      </c>
      <c r="K1240" s="153"/>
      <c r="L1240" s="153">
        <f t="shared" si="684"/>
        <v>500</v>
      </c>
      <c r="M1240" s="153"/>
      <c r="N1240" s="153">
        <f t="shared" si="683"/>
        <v>500</v>
      </c>
      <c r="O1240" s="153">
        <v>958</v>
      </c>
      <c r="P1240" s="155">
        <v>229</v>
      </c>
      <c r="Q1240" s="87">
        <f t="shared" si="637"/>
        <v>-0.54200000000000004</v>
      </c>
      <c r="R1240" s="206"/>
    </row>
    <row r="1241" spans="1:18" ht="14.1" customHeight="1" x14ac:dyDescent="0.2">
      <c r="A1241" s="89"/>
      <c r="B1241" s="90">
        <v>5513</v>
      </c>
      <c r="C1241" s="72" t="s">
        <v>243</v>
      </c>
      <c r="D1241" s="102">
        <v>2000</v>
      </c>
      <c r="E1241" s="71"/>
      <c r="F1241" s="74">
        <f t="shared" si="674"/>
        <v>2000</v>
      </c>
      <c r="G1241" s="74"/>
      <c r="H1241" s="74">
        <f t="shared" si="679"/>
        <v>2000</v>
      </c>
      <c r="I1241" s="71">
        <v>565</v>
      </c>
      <c r="J1241" s="73">
        <v>1000</v>
      </c>
      <c r="K1241" s="74"/>
      <c r="L1241" s="74">
        <f t="shared" si="684"/>
        <v>1000</v>
      </c>
      <c r="M1241" s="74"/>
      <c r="N1241" s="74">
        <f t="shared" si="683"/>
        <v>1000</v>
      </c>
      <c r="O1241" s="74">
        <v>327</v>
      </c>
      <c r="P1241" s="67">
        <v>800</v>
      </c>
      <c r="Q1241" s="87">
        <f t="shared" si="637"/>
        <v>-0.2</v>
      </c>
      <c r="R1241" s="203"/>
    </row>
    <row r="1242" spans="1:18" ht="14.1" customHeight="1" x14ac:dyDescent="0.2">
      <c r="A1242" s="89"/>
      <c r="B1242" s="90">
        <v>5514</v>
      </c>
      <c r="C1242" s="72" t="s">
        <v>297</v>
      </c>
      <c r="D1242" s="102">
        <v>16000</v>
      </c>
      <c r="E1242" s="71"/>
      <c r="F1242" s="74">
        <f t="shared" si="674"/>
        <v>16000</v>
      </c>
      <c r="G1242" s="74"/>
      <c r="H1242" s="74">
        <f t="shared" si="679"/>
        <v>16000</v>
      </c>
      <c r="I1242" s="71">
        <v>11717</v>
      </c>
      <c r="J1242" s="73">
        <v>16000</v>
      </c>
      <c r="K1242" s="74"/>
      <c r="L1242" s="74">
        <f t="shared" si="684"/>
        <v>16000</v>
      </c>
      <c r="M1242" s="74"/>
      <c r="N1242" s="74">
        <f t="shared" si="683"/>
        <v>16000</v>
      </c>
      <c r="O1242" s="74">
        <v>12653</v>
      </c>
      <c r="P1242" s="67">
        <v>15000</v>
      </c>
      <c r="Q1242" s="87">
        <f t="shared" si="637"/>
        <v>-6.25E-2</v>
      </c>
      <c r="R1242" s="203" t="s">
        <v>1026</v>
      </c>
    </row>
    <row r="1243" spans="1:18" ht="14.1" customHeight="1" x14ac:dyDescent="0.2">
      <c r="A1243" s="89"/>
      <c r="B1243" s="90">
        <v>5515</v>
      </c>
      <c r="C1243" s="72" t="s">
        <v>298</v>
      </c>
      <c r="D1243" s="102">
        <v>5500</v>
      </c>
      <c r="E1243" s="71"/>
      <c r="F1243" s="74">
        <f t="shared" si="674"/>
        <v>5500</v>
      </c>
      <c r="G1243" s="74">
        <v>1026</v>
      </c>
      <c r="H1243" s="74">
        <f t="shared" si="679"/>
        <v>6526</v>
      </c>
      <c r="I1243" s="71">
        <v>4859</v>
      </c>
      <c r="J1243" s="73">
        <v>7500</v>
      </c>
      <c r="K1243" s="74">
        <v>-1600</v>
      </c>
      <c r="L1243" s="74">
        <f t="shared" si="684"/>
        <v>5900</v>
      </c>
      <c r="M1243" s="74"/>
      <c r="N1243" s="74">
        <f t="shared" si="683"/>
        <v>5900</v>
      </c>
      <c r="O1243" s="74">
        <v>5354</v>
      </c>
      <c r="P1243" s="67">
        <v>7000</v>
      </c>
      <c r="Q1243" s="87">
        <f t="shared" ref="Q1243:Q1306" si="687">(P1243-N1243)/N1243</f>
        <v>0.1864406779661017</v>
      </c>
      <c r="R1243" s="203" t="s">
        <v>1522</v>
      </c>
    </row>
    <row r="1244" spans="1:18" ht="14.1" customHeight="1" x14ac:dyDescent="0.2">
      <c r="A1244" s="89"/>
      <c r="B1244" s="90">
        <v>5516</v>
      </c>
      <c r="C1244" s="172" t="s">
        <v>135</v>
      </c>
      <c r="D1244" s="102">
        <v>0</v>
      </c>
      <c r="E1244" s="71"/>
      <c r="F1244" s="74">
        <f t="shared" si="674"/>
        <v>0</v>
      </c>
      <c r="G1244" s="74"/>
      <c r="H1244" s="74">
        <f t="shared" si="679"/>
        <v>0</v>
      </c>
      <c r="I1244" s="71"/>
      <c r="J1244" s="73"/>
      <c r="K1244" s="74"/>
      <c r="L1244" s="74">
        <f t="shared" si="684"/>
        <v>0</v>
      </c>
      <c r="M1244" s="74"/>
      <c r="N1244" s="74">
        <f t="shared" ref="N1244:N1250" si="688">+M1244+L1244</f>
        <v>0</v>
      </c>
      <c r="O1244" s="74"/>
      <c r="P1244" s="67">
        <v>2000</v>
      </c>
      <c r="Q1244" s="87" t="e">
        <f t="shared" si="687"/>
        <v>#DIV/0!</v>
      </c>
      <c r="R1244" s="203"/>
    </row>
    <row r="1245" spans="1:18" ht="14.1" customHeight="1" x14ac:dyDescent="0.2">
      <c r="A1245" s="89"/>
      <c r="B1245" s="90">
        <v>5521</v>
      </c>
      <c r="C1245" s="72" t="s">
        <v>263</v>
      </c>
      <c r="D1245" s="102">
        <v>0</v>
      </c>
      <c r="E1245" s="71"/>
      <c r="F1245" s="74">
        <f t="shared" si="674"/>
        <v>0</v>
      </c>
      <c r="G1245" s="74"/>
      <c r="H1245" s="74">
        <f t="shared" si="679"/>
        <v>0</v>
      </c>
      <c r="I1245" s="71"/>
      <c r="J1245" s="73"/>
      <c r="K1245" s="74"/>
      <c r="L1245" s="74">
        <f t="shared" si="684"/>
        <v>0</v>
      </c>
      <c r="M1245" s="74"/>
      <c r="N1245" s="74">
        <f t="shared" si="688"/>
        <v>0</v>
      </c>
      <c r="O1245" s="74"/>
      <c r="P1245" s="67">
        <f>+N1245+M1245</f>
        <v>0</v>
      </c>
      <c r="Q1245" s="87" t="e">
        <f t="shared" si="687"/>
        <v>#DIV/0!</v>
      </c>
      <c r="R1245" s="203"/>
    </row>
    <row r="1246" spans="1:18" ht="14.1" customHeight="1" x14ac:dyDescent="0.2">
      <c r="A1246" s="89"/>
      <c r="B1246" s="90">
        <v>5522</v>
      </c>
      <c r="C1246" s="72" t="s">
        <v>392</v>
      </c>
      <c r="D1246" s="102">
        <v>300</v>
      </c>
      <c r="E1246" s="71"/>
      <c r="F1246" s="74">
        <f t="shared" si="674"/>
        <v>300</v>
      </c>
      <c r="G1246" s="74"/>
      <c r="H1246" s="74">
        <f t="shared" si="679"/>
        <v>300</v>
      </c>
      <c r="I1246" s="71">
        <v>248</v>
      </c>
      <c r="J1246" s="73">
        <v>1700</v>
      </c>
      <c r="K1246" s="74"/>
      <c r="L1246" s="74">
        <f t="shared" si="684"/>
        <v>1700</v>
      </c>
      <c r="M1246" s="74"/>
      <c r="N1246" s="74">
        <f t="shared" si="688"/>
        <v>1700</v>
      </c>
      <c r="O1246" s="74">
        <v>201</v>
      </c>
      <c r="P1246" s="67">
        <v>1000</v>
      </c>
      <c r="Q1246" s="87">
        <f t="shared" si="687"/>
        <v>-0.41176470588235292</v>
      </c>
      <c r="R1246" s="203"/>
    </row>
    <row r="1247" spans="1:18" ht="14.1" customHeight="1" x14ac:dyDescent="0.2">
      <c r="A1247" s="89"/>
      <c r="B1247" s="90">
        <v>5523</v>
      </c>
      <c r="C1247" s="72" t="s">
        <v>393</v>
      </c>
      <c r="D1247" s="102">
        <v>0</v>
      </c>
      <c r="E1247" s="71"/>
      <c r="F1247" s="74">
        <f t="shared" si="674"/>
        <v>0</v>
      </c>
      <c r="G1247" s="74"/>
      <c r="H1247" s="74">
        <f t="shared" si="679"/>
        <v>0</v>
      </c>
      <c r="I1247" s="71"/>
      <c r="J1247" s="73"/>
      <c r="K1247" s="74"/>
      <c r="L1247" s="74">
        <f t="shared" si="684"/>
        <v>0</v>
      </c>
      <c r="M1247" s="74"/>
      <c r="N1247" s="74">
        <f t="shared" si="688"/>
        <v>0</v>
      </c>
      <c r="O1247" s="74"/>
      <c r="P1247" s="67">
        <f>+N1247+M1247</f>
        <v>0</v>
      </c>
      <c r="Q1247" s="87" t="e">
        <f t="shared" si="687"/>
        <v>#DIV/0!</v>
      </c>
      <c r="R1247" s="203"/>
    </row>
    <row r="1248" spans="1:18" ht="14.1" customHeight="1" x14ac:dyDescent="0.2">
      <c r="A1248" s="89"/>
      <c r="B1248" s="90">
        <v>5524</v>
      </c>
      <c r="C1248" s="72" t="s">
        <v>375</v>
      </c>
      <c r="D1248" s="102">
        <v>3000</v>
      </c>
      <c r="E1248" s="71">
        <v>4259</v>
      </c>
      <c r="F1248" s="74">
        <f t="shared" si="674"/>
        <v>7259</v>
      </c>
      <c r="G1248" s="74"/>
      <c r="H1248" s="74">
        <f t="shared" si="679"/>
        <v>7259</v>
      </c>
      <c r="I1248" s="71">
        <v>4732</v>
      </c>
      <c r="J1248" s="73">
        <v>3500</v>
      </c>
      <c r="K1248" s="74"/>
      <c r="L1248" s="74">
        <f t="shared" si="684"/>
        <v>3500</v>
      </c>
      <c r="M1248" s="74"/>
      <c r="N1248" s="74">
        <f t="shared" si="688"/>
        <v>3500</v>
      </c>
      <c r="O1248" s="74">
        <v>2686</v>
      </c>
      <c r="P1248" s="67">
        <v>3500</v>
      </c>
      <c r="Q1248" s="87">
        <f t="shared" si="687"/>
        <v>0</v>
      </c>
      <c r="R1248" s="203"/>
    </row>
    <row r="1249" spans="1:21" ht="14.1" customHeight="1" x14ac:dyDescent="0.2">
      <c r="A1249" s="89"/>
      <c r="B1249" s="90">
        <v>5525</v>
      </c>
      <c r="C1249" s="72" t="s">
        <v>394</v>
      </c>
      <c r="D1249" s="102">
        <v>5000</v>
      </c>
      <c r="E1249" s="71"/>
      <c r="F1249" s="74">
        <f t="shared" si="674"/>
        <v>5000</v>
      </c>
      <c r="G1249" s="74"/>
      <c r="H1249" s="74">
        <f t="shared" si="679"/>
        <v>5000</v>
      </c>
      <c r="I1249" s="71">
        <v>4287</v>
      </c>
      <c r="J1249" s="73">
        <v>2800</v>
      </c>
      <c r="K1249" s="74"/>
      <c r="L1249" s="74">
        <f t="shared" si="684"/>
        <v>2800</v>
      </c>
      <c r="M1249" s="74"/>
      <c r="N1249" s="74">
        <f t="shared" si="688"/>
        <v>2800</v>
      </c>
      <c r="O1249" s="74">
        <v>2413</v>
      </c>
      <c r="P1249" s="67">
        <v>3000</v>
      </c>
      <c r="Q1249" s="87">
        <f t="shared" si="687"/>
        <v>7.1428571428571425E-2</v>
      </c>
      <c r="R1249" s="206"/>
    </row>
    <row r="1250" spans="1:21" ht="14.1" customHeight="1" x14ac:dyDescent="0.2">
      <c r="A1250" s="89"/>
      <c r="B1250" s="90">
        <v>5540</v>
      </c>
      <c r="C1250" s="72" t="s">
        <v>395</v>
      </c>
      <c r="D1250" s="102">
        <v>5456</v>
      </c>
      <c r="E1250" s="71"/>
      <c r="F1250" s="74">
        <f t="shared" si="674"/>
        <v>5456</v>
      </c>
      <c r="G1250" s="74">
        <v>9416</v>
      </c>
      <c r="H1250" s="74">
        <f t="shared" si="679"/>
        <v>14872</v>
      </c>
      <c r="I1250" s="71">
        <v>1281</v>
      </c>
      <c r="J1250" s="73">
        <v>2000</v>
      </c>
      <c r="K1250" s="74">
        <v>18627.63</v>
      </c>
      <c r="L1250" s="74">
        <f t="shared" si="684"/>
        <v>20627.63</v>
      </c>
      <c r="M1250" s="74"/>
      <c r="N1250" s="74">
        <f t="shared" si="688"/>
        <v>20627.63</v>
      </c>
      <c r="O1250" s="74">
        <v>10609</v>
      </c>
      <c r="P1250" s="67">
        <v>22500</v>
      </c>
      <c r="Q1250" s="87">
        <f t="shared" si="687"/>
        <v>9.0770001207118742E-2</v>
      </c>
      <c r="R1250" s="203" t="s">
        <v>1609</v>
      </c>
    </row>
    <row r="1251" spans="1:21" ht="14.1" customHeight="1" x14ac:dyDescent="0.2">
      <c r="A1251" s="146" t="s">
        <v>705</v>
      </c>
      <c r="B1251" s="147"/>
      <c r="C1251" s="148" t="s">
        <v>396</v>
      </c>
      <c r="D1251" s="149">
        <v>267634</v>
      </c>
      <c r="E1251" s="150"/>
      <c r="F1251" s="137">
        <f t="shared" si="674"/>
        <v>267634</v>
      </c>
      <c r="G1251" s="137">
        <f>+G1252</f>
        <v>4000</v>
      </c>
      <c r="H1251" s="137">
        <f>+H1252+H1253</f>
        <v>271634</v>
      </c>
      <c r="I1251" s="151">
        <f>+I1252+I1253</f>
        <v>225045</v>
      </c>
      <c r="J1251" s="152">
        <f>+J1252+J1253</f>
        <v>267634</v>
      </c>
      <c r="K1251" s="137">
        <f>+K1252+K1253</f>
        <v>57202</v>
      </c>
      <c r="L1251" s="137">
        <f>+L1252+L1253</f>
        <v>324836</v>
      </c>
      <c r="M1251" s="137">
        <f t="shared" ref="M1251:N1251" si="689">+M1252+M1253</f>
        <v>0</v>
      </c>
      <c r="N1251" s="137">
        <f t="shared" si="689"/>
        <v>324836</v>
      </c>
      <c r="O1251" s="137">
        <f t="shared" ref="O1251:P1251" si="690">+O1252+O1253</f>
        <v>244473</v>
      </c>
      <c r="P1251" s="137">
        <f t="shared" si="690"/>
        <v>374145</v>
      </c>
      <c r="Q1251" s="87">
        <f t="shared" si="687"/>
        <v>0.1517965988991368</v>
      </c>
      <c r="R1251" s="203"/>
    </row>
    <row r="1252" spans="1:21" ht="14.1" customHeight="1" x14ac:dyDescent="0.2">
      <c r="A1252" s="89"/>
      <c r="B1252" s="95" t="s">
        <v>101</v>
      </c>
      <c r="C1252" s="96" t="s">
        <v>102</v>
      </c>
      <c r="D1252" s="43">
        <v>262503</v>
      </c>
      <c r="E1252" s="71"/>
      <c r="F1252" s="98">
        <f t="shared" si="674"/>
        <v>262503</v>
      </c>
      <c r="G1252" s="98">
        <v>4000</v>
      </c>
      <c r="H1252" s="98">
        <f>+G1252+F1252</f>
        <v>266503</v>
      </c>
      <c r="I1252" s="97">
        <v>219982</v>
      </c>
      <c r="J1252" s="99">
        <v>262503</v>
      </c>
      <c r="K1252" s="98">
        <v>55766</v>
      </c>
      <c r="L1252" s="182">
        <f>+K1252+J1252</f>
        <v>318269</v>
      </c>
      <c r="M1252" s="182"/>
      <c r="N1252" s="182">
        <f t="shared" ref="N1252:N1256" si="691">+M1252+L1252</f>
        <v>318269</v>
      </c>
      <c r="O1252" s="182">
        <v>237187</v>
      </c>
      <c r="P1252" s="78">
        <v>368159</v>
      </c>
      <c r="Q1252" s="87">
        <f t="shared" si="687"/>
        <v>0.15675419220847772</v>
      </c>
      <c r="R1252" s="204" t="s">
        <v>1028</v>
      </c>
    </row>
    <row r="1253" spans="1:21" ht="14.1" customHeight="1" x14ac:dyDescent="0.2">
      <c r="A1253" s="89"/>
      <c r="B1253" s="95" t="s">
        <v>103</v>
      </c>
      <c r="C1253" s="96" t="s">
        <v>104</v>
      </c>
      <c r="D1253" s="43">
        <v>5131</v>
      </c>
      <c r="E1253" s="71"/>
      <c r="F1253" s="98">
        <f t="shared" si="674"/>
        <v>5131</v>
      </c>
      <c r="G1253" s="98"/>
      <c r="H1253" s="98">
        <f t="shared" ref="H1253:H1255" si="692">+G1253+F1253</f>
        <v>5131</v>
      </c>
      <c r="I1253" s="97">
        <f>+I1254+I1255</f>
        <v>5063</v>
      </c>
      <c r="J1253" s="99">
        <f>+J1254+J1255</f>
        <v>5131</v>
      </c>
      <c r="K1253" s="98">
        <f>+K1254+K1255+K1256</f>
        <v>1436</v>
      </c>
      <c r="L1253" s="170">
        <f>+L1254+L1255+L1256</f>
        <v>6567</v>
      </c>
      <c r="M1253" s="170">
        <f t="shared" ref="M1253:N1253" si="693">+M1254+M1255+M1256</f>
        <v>0</v>
      </c>
      <c r="N1253" s="170">
        <f t="shared" si="693"/>
        <v>6567</v>
      </c>
      <c r="O1253" s="170">
        <f t="shared" ref="O1253" si="694">+O1254+O1255+O1256</f>
        <v>7286</v>
      </c>
      <c r="P1253" s="170">
        <f t="shared" ref="P1253" si="695">+P1254+P1255+P1256</f>
        <v>5986</v>
      </c>
      <c r="Q1253" s="87">
        <f t="shared" si="687"/>
        <v>-8.8472666362113594E-2</v>
      </c>
      <c r="R1253" s="206"/>
    </row>
    <row r="1254" spans="1:21" ht="14.1" customHeight="1" x14ac:dyDescent="0.2">
      <c r="A1254" s="89"/>
      <c r="B1254" s="90">
        <v>5504</v>
      </c>
      <c r="C1254" s="72" t="s">
        <v>118</v>
      </c>
      <c r="D1254" s="102">
        <v>977</v>
      </c>
      <c r="E1254" s="71"/>
      <c r="F1254" s="74">
        <f t="shared" si="674"/>
        <v>977</v>
      </c>
      <c r="G1254" s="74"/>
      <c r="H1254" s="74">
        <f t="shared" si="692"/>
        <v>977</v>
      </c>
      <c r="I1254" s="71">
        <v>918</v>
      </c>
      <c r="J1254" s="73">
        <v>977</v>
      </c>
      <c r="K1254" s="74">
        <v>524</v>
      </c>
      <c r="L1254" s="74">
        <f t="shared" ref="L1254:L1256" si="696">+K1254+J1254</f>
        <v>1501</v>
      </c>
      <c r="M1254" s="74"/>
      <c r="N1254" s="74">
        <f t="shared" si="691"/>
        <v>1501</v>
      </c>
      <c r="O1254" s="74">
        <v>2179</v>
      </c>
      <c r="P1254" s="67">
        <v>876</v>
      </c>
      <c r="Q1254" s="87">
        <f t="shared" si="687"/>
        <v>-0.41638907395069952</v>
      </c>
      <c r="R1254" s="206"/>
    </row>
    <row r="1255" spans="1:21" ht="14.1" customHeight="1" x14ac:dyDescent="0.2">
      <c r="A1255" s="89"/>
      <c r="B1255" s="90">
        <v>5524</v>
      </c>
      <c r="C1255" s="72" t="s">
        <v>345</v>
      </c>
      <c r="D1255" s="102">
        <v>4154</v>
      </c>
      <c r="E1255" s="71"/>
      <c r="F1255" s="74">
        <f t="shared" si="674"/>
        <v>4154</v>
      </c>
      <c r="G1255" s="74"/>
      <c r="H1255" s="74">
        <f t="shared" si="692"/>
        <v>4154</v>
      </c>
      <c r="I1255" s="71">
        <v>4145</v>
      </c>
      <c r="J1255" s="73">
        <v>4154</v>
      </c>
      <c r="K1255" s="74">
        <v>292</v>
      </c>
      <c r="L1255" s="74">
        <f t="shared" si="696"/>
        <v>4446</v>
      </c>
      <c r="M1255" s="74"/>
      <c r="N1255" s="74">
        <f t="shared" si="691"/>
        <v>4446</v>
      </c>
      <c r="O1255" s="74">
        <v>4884</v>
      </c>
      <c r="P1255" s="67">
        <v>4161</v>
      </c>
      <c r="Q1255" s="87">
        <f t="shared" si="687"/>
        <v>-6.4102564102564097E-2</v>
      </c>
      <c r="R1255" s="206"/>
    </row>
    <row r="1256" spans="1:21" ht="14.1" customHeight="1" x14ac:dyDescent="0.2">
      <c r="A1256" s="89"/>
      <c r="B1256" s="90">
        <v>5525</v>
      </c>
      <c r="C1256" s="72" t="s">
        <v>394</v>
      </c>
      <c r="D1256" s="102"/>
      <c r="E1256" s="71"/>
      <c r="F1256" s="74"/>
      <c r="G1256" s="74"/>
      <c r="H1256" s="74"/>
      <c r="I1256" s="71"/>
      <c r="J1256" s="73"/>
      <c r="K1256" s="74">
        <v>620</v>
      </c>
      <c r="L1256" s="74">
        <f t="shared" si="696"/>
        <v>620</v>
      </c>
      <c r="M1256" s="74"/>
      <c r="N1256" s="74">
        <f t="shared" si="691"/>
        <v>620</v>
      </c>
      <c r="O1256" s="74">
        <v>223</v>
      </c>
      <c r="P1256" s="67">
        <v>949</v>
      </c>
      <c r="Q1256" s="87">
        <f t="shared" si="687"/>
        <v>0.53064516129032258</v>
      </c>
      <c r="R1256" s="206"/>
    </row>
    <row r="1257" spans="1:21" ht="14.1" customHeight="1" x14ac:dyDescent="0.2">
      <c r="A1257" s="164" t="s">
        <v>711</v>
      </c>
      <c r="B1257" s="147"/>
      <c r="C1257" s="148" t="s">
        <v>397</v>
      </c>
      <c r="D1257" s="149">
        <v>36246</v>
      </c>
      <c r="E1257" s="150"/>
      <c r="F1257" s="137">
        <f>+E1257+D1257</f>
        <v>36246</v>
      </c>
      <c r="G1257" s="137">
        <f t="shared" ref="G1257:P1257" si="697">+G1258</f>
        <v>-4000</v>
      </c>
      <c r="H1257" s="137">
        <f t="shared" si="697"/>
        <v>32246</v>
      </c>
      <c r="I1257" s="151">
        <f t="shared" si="697"/>
        <v>26567</v>
      </c>
      <c r="J1257" s="152">
        <f t="shared" si="697"/>
        <v>33720</v>
      </c>
      <c r="K1257" s="137">
        <f t="shared" si="697"/>
        <v>0</v>
      </c>
      <c r="L1257" s="137">
        <f t="shared" si="697"/>
        <v>33720</v>
      </c>
      <c r="M1257" s="137">
        <f t="shared" si="697"/>
        <v>0</v>
      </c>
      <c r="N1257" s="137">
        <f t="shared" si="697"/>
        <v>33720</v>
      </c>
      <c r="O1257" s="137">
        <f t="shared" si="697"/>
        <v>29275</v>
      </c>
      <c r="P1257" s="137">
        <f t="shared" si="697"/>
        <v>51813</v>
      </c>
      <c r="Q1257" s="87">
        <f t="shared" si="687"/>
        <v>0.5365658362989324</v>
      </c>
      <c r="R1257" s="203"/>
    </row>
    <row r="1258" spans="1:21" ht="14.1" customHeight="1" x14ac:dyDescent="0.2">
      <c r="A1258" s="89"/>
      <c r="B1258" s="95" t="s">
        <v>101</v>
      </c>
      <c r="C1258" s="96" t="s">
        <v>146</v>
      </c>
      <c r="D1258" s="102">
        <v>36246</v>
      </c>
      <c r="E1258" s="71"/>
      <c r="F1258" s="72">
        <v>36246</v>
      </c>
      <c r="G1258" s="72">
        <v>-4000</v>
      </c>
      <c r="H1258" s="72">
        <f>+G1258+F1258</f>
        <v>32246</v>
      </c>
      <c r="I1258" s="71">
        <v>26567</v>
      </c>
      <c r="J1258" s="73">
        <v>33720</v>
      </c>
      <c r="K1258" s="74"/>
      <c r="L1258" s="140">
        <f>+K1258+J1258</f>
        <v>33720</v>
      </c>
      <c r="M1258" s="140"/>
      <c r="N1258" s="140">
        <f t="shared" ref="N1258" si="698">+M1258+L1258</f>
        <v>33720</v>
      </c>
      <c r="O1258" s="140">
        <v>29275</v>
      </c>
      <c r="P1258" s="67">
        <v>51813</v>
      </c>
      <c r="Q1258" s="87">
        <f t="shared" si="687"/>
        <v>0.5365658362989324</v>
      </c>
      <c r="R1258" s="204" t="s">
        <v>1024</v>
      </c>
      <c r="S1258" s="56" t="s">
        <v>1370</v>
      </c>
      <c r="U1258" s="56" t="s">
        <v>1525</v>
      </c>
    </row>
    <row r="1259" spans="1:21" ht="14.1" customHeight="1" x14ac:dyDescent="0.2">
      <c r="A1259" s="164" t="s">
        <v>699</v>
      </c>
      <c r="B1259" s="147"/>
      <c r="C1259" s="148" t="s">
        <v>1087</v>
      </c>
      <c r="D1259" s="149">
        <v>875908</v>
      </c>
      <c r="E1259" s="150"/>
      <c r="F1259" s="137">
        <f>+E1259+D1259</f>
        <v>875908</v>
      </c>
      <c r="G1259" s="137">
        <v>0</v>
      </c>
      <c r="H1259" s="137">
        <f>+H1260+H1261</f>
        <v>875908</v>
      </c>
      <c r="I1259" s="151">
        <f>+I1260+I1261</f>
        <v>720704</v>
      </c>
      <c r="J1259" s="152">
        <f>+J1260+J1261</f>
        <v>875908</v>
      </c>
      <c r="K1259" s="137">
        <f>+K1260+K1261</f>
        <v>81664</v>
      </c>
      <c r="L1259" s="137">
        <f>+L1260+L1261</f>
        <v>957572</v>
      </c>
      <c r="M1259" s="137">
        <f t="shared" ref="M1259:N1259" si="699">+M1260+M1261</f>
        <v>0</v>
      </c>
      <c r="N1259" s="137">
        <f t="shared" si="699"/>
        <v>957572</v>
      </c>
      <c r="O1259" s="137">
        <f t="shared" ref="O1259:P1259" si="700">+O1260+O1261</f>
        <v>768412</v>
      </c>
      <c r="P1259" s="137">
        <f t="shared" si="700"/>
        <v>1185929</v>
      </c>
      <c r="Q1259" s="87">
        <f t="shared" si="687"/>
        <v>0.2384750180665266</v>
      </c>
      <c r="R1259" s="203"/>
    </row>
    <row r="1260" spans="1:21" ht="14.1" customHeight="1" x14ac:dyDescent="0.2">
      <c r="A1260" s="89"/>
      <c r="B1260" s="95" t="s">
        <v>101</v>
      </c>
      <c r="C1260" s="96" t="s">
        <v>146</v>
      </c>
      <c r="D1260" s="43">
        <v>845927</v>
      </c>
      <c r="E1260" s="71"/>
      <c r="F1260" s="98">
        <f>+E1260+D1260</f>
        <v>845927</v>
      </c>
      <c r="G1260" s="98"/>
      <c r="H1260" s="98">
        <f>+G1260+F1260</f>
        <v>845927</v>
      </c>
      <c r="I1260" s="97">
        <v>690395</v>
      </c>
      <c r="J1260" s="99">
        <v>845927</v>
      </c>
      <c r="K1260" s="98">
        <v>78401</v>
      </c>
      <c r="L1260" s="182">
        <f>+K1260+J1260</f>
        <v>924328</v>
      </c>
      <c r="M1260" s="182"/>
      <c r="N1260" s="182">
        <f t="shared" ref="N1260:N1264" si="701">+M1260+L1260</f>
        <v>924328</v>
      </c>
      <c r="O1260" s="182">
        <v>732668</v>
      </c>
      <c r="P1260" s="78">
        <v>1145597</v>
      </c>
      <c r="Q1260" s="87">
        <f t="shared" si="687"/>
        <v>0.23938363870833729</v>
      </c>
      <c r="R1260" s="204" t="s">
        <v>1088</v>
      </c>
    </row>
    <row r="1261" spans="1:21" ht="14.1" customHeight="1" x14ac:dyDescent="0.2">
      <c r="A1261" s="89"/>
      <c r="B1261" s="95" t="s">
        <v>103</v>
      </c>
      <c r="C1261" s="96" t="s">
        <v>148</v>
      </c>
      <c r="D1261" s="43">
        <v>29981</v>
      </c>
      <c r="E1261" s="71"/>
      <c r="F1261" s="98">
        <f>+E1261+D1261</f>
        <v>29981</v>
      </c>
      <c r="G1261" s="98"/>
      <c r="H1261" s="98">
        <f t="shared" ref="H1261:H1263" si="702">+G1261+F1261</f>
        <v>29981</v>
      </c>
      <c r="I1261" s="97">
        <f>+I1262+I1263</f>
        <v>30309</v>
      </c>
      <c r="J1261" s="99">
        <f>+J1262+J1263</f>
        <v>29981</v>
      </c>
      <c r="K1261" s="98">
        <f>+K1262+K1263+K1264</f>
        <v>3263</v>
      </c>
      <c r="L1261" s="170">
        <f>+L1262+L1263+L1264</f>
        <v>33244</v>
      </c>
      <c r="M1261" s="170">
        <f t="shared" ref="M1261:N1261" si="703">+M1262+M1263+M1264</f>
        <v>0</v>
      </c>
      <c r="N1261" s="170">
        <f t="shared" si="703"/>
        <v>33244</v>
      </c>
      <c r="O1261" s="170">
        <f t="shared" ref="O1261" si="704">+O1262+O1263+O1264</f>
        <v>35744</v>
      </c>
      <c r="P1261" s="170">
        <f t="shared" ref="P1261" si="705">+P1262+P1263+P1264</f>
        <v>40332</v>
      </c>
      <c r="Q1261" s="87">
        <f t="shared" si="687"/>
        <v>0.21321140656960655</v>
      </c>
      <c r="R1261" s="203"/>
    </row>
    <row r="1262" spans="1:21" ht="14.1" customHeight="1" x14ac:dyDescent="0.2">
      <c r="A1262" s="89"/>
      <c r="B1262" s="90" t="s">
        <v>108</v>
      </c>
      <c r="C1262" s="72" t="s">
        <v>118</v>
      </c>
      <c r="D1262" s="43">
        <v>6030</v>
      </c>
      <c r="E1262" s="71"/>
      <c r="F1262" s="74">
        <f>+E1262+D1262</f>
        <v>6030</v>
      </c>
      <c r="G1262" s="74"/>
      <c r="H1262" s="74">
        <f t="shared" si="702"/>
        <v>6030</v>
      </c>
      <c r="I1262" s="71">
        <v>6123</v>
      </c>
      <c r="J1262" s="73">
        <v>6030</v>
      </c>
      <c r="K1262" s="74">
        <v>-450</v>
      </c>
      <c r="L1262" s="74">
        <f t="shared" ref="L1262:L1264" si="706">+K1262+J1262</f>
        <v>5580</v>
      </c>
      <c r="M1262" s="74"/>
      <c r="N1262" s="74">
        <f t="shared" si="701"/>
        <v>5580</v>
      </c>
      <c r="O1262" s="74">
        <v>7792</v>
      </c>
      <c r="P1262" s="67">
        <v>6180</v>
      </c>
      <c r="Q1262" s="87">
        <f t="shared" si="687"/>
        <v>0.10752688172043011</v>
      </c>
      <c r="R1262" s="203"/>
    </row>
    <row r="1263" spans="1:21" ht="14.1" customHeight="1" x14ac:dyDescent="0.2">
      <c r="A1263" s="89"/>
      <c r="B1263" s="90" t="s">
        <v>344</v>
      </c>
      <c r="C1263" s="72" t="s">
        <v>370</v>
      </c>
      <c r="D1263" s="43">
        <v>23951</v>
      </c>
      <c r="E1263" s="71"/>
      <c r="F1263" s="74">
        <f>+E1263+D1263</f>
        <v>23951</v>
      </c>
      <c r="G1263" s="74"/>
      <c r="H1263" s="74">
        <f t="shared" si="702"/>
        <v>23951</v>
      </c>
      <c r="I1263" s="71">
        <v>24186</v>
      </c>
      <c r="J1263" s="73">
        <v>23951</v>
      </c>
      <c r="K1263" s="74">
        <v>341</v>
      </c>
      <c r="L1263" s="74">
        <f t="shared" si="706"/>
        <v>24292</v>
      </c>
      <c r="M1263" s="74"/>
      <c r="N1263" s="74">
        <f t="shared" si="701"/>
        <v>24292</v>
      </c>
      <c r="O1263" s="74">
        <v>27952</v>
      </c>
      <c r="P1263" s="67">
        <v>29355</v>
      </c>
      <c r="Q1263" s="87">
        <f t="shared" si="687"/>
        <v>0.20842252593446403</v>
      </c>
      <c r="R1263" s="203"/>
    </row>
    <row r="1264" spans="1:21" ht="14.1" customHeight="1" x14ac:dyDescent="0.2">
      <c r="A1264" s="89"/>
      <c r="B1264" s="90">
        <v>5525</v>
      </c>
      <c r="C1264" s="72" t="s">
        <v>394</v>
      </c>
      <c r="D1264" s="43"/>
      <c r="E1264" s="71"/>
      <c r="F1264" s="74"/>
      <c r="G1264" s="74"/>
      <c r="H1264" s="74"/>
      <c r="I1264" s="71"/>
      <c r="J1264" s="73"/>
      <c r="K1264" s="74">
        <v>3372</v>
      </c>
      <c r="L1264" s="74">
        <f t="shared" si="706"/>
        <v>3372</v>
      </c>
      <c r="M1264" s="74"/>
      <c r="N1264" s="74">
        <f t="shared" si="701"/>
        <v>3372</v>
      </c>
      <c r="O1264" s="74">
        <v>0</v>
      </c>
      <c r="P1264" s="67">
        <v>4797</v>
      </c>
      <c r="Q1264" s="87">
        <f t="shared" si="687"/>
        <v>0.42259786476868327</v>
      </c>
      <c r="R1264" s="203"/>
    </row>
    <row r="1265" spans="1:26" ht="14.1" customHeight="1" x14ac:dyDescent="0.2">
      <c r="A1265" s="164" t="s">
        <v>398</v>
      </c>
      <c r="B1265" s="147"/>
      <c r="C1265" s="148" t="s">
        <v>399</v>
      </c>
      <c r="D1265" s="149">
        <v>303089</v>
      </c>
      <c r="E1265" s="150"/>
      <c r="F1265" s="137">
        <f>+E1265+D1265</f>
        <v>303089</v>
      </c>
      <c r="G1265" s="137">
        <v>0</v>
      </c>
      <c r="H1265" s="137">
        <f>+H1266</f>
        <v>303089</v>
      </c>
      <c r="I1265" s="151">
        <f>+I1266</f>
        <v>241999</v>
      </c>
      <c r="J1265" s="152">
        <f>+J1266</f>
        <v>303089</v>
      </c>
      <c r="K1265" s="137">
        <f>+K1266</f>
        <v>21581</v>
      </c>
      <c r="L1265" s="137">
        <f>+L1266</f>
        <v>324670</v>
      </c>
      <c r="M1265" s="137">
        <f t="shared" ref="M1265:P1265" si="707">+M1266</f>
        <v>0</v>
      </c>
      <c r="N1265" s="137">
        <f t="shared" si="707"/>
        <v>324670</v>
      </c>
      <c r="O1265" s="137">
        <f t="shared" si="707"/>
        <v>267564</v>
      </c>
      <c r="P1265" s="137">
        <f t="shared" si="707"/>
        <v>376038</v>
      </c>
      <c r="Q1265" s="87">
        <f t="shared" si="687"/>
        <v>0.15821603474296977</v>
      </c>
      <c r="R1265" s="203" t="s">
        <v>1527</v>
      </c>
    </row>
    <row r="1266" spans="1:26" ht="14.1" customHeight="1" x14ac:dyDescent="0.2">
      <c r="A1266" s="89"/>
      <c r="B1266" s="95" t="s">
        <v>101</v>
      </c>
      <c r="C1266" s="96" t="s">
        <v>102</v>
      </c>
      <c r="D1266" s="102">
        <v>303089</v>
      </c>
      <c r="E1266" s="71"/>
      <c r="F1266" s="72">
        <v>303089</v>
      </c>
      <c r="G1266" s="72"/>
      <c r="H1266" s="72">
        <v>303089</v>
      </c>
      <c r="I1266" s="71">
        <v>241999</v>
      </c>
      <c r="J1266" s="73">
        <v>303089</v>
      </c>
      <c r="K1266" s="74">
        <v>21581</v>
      </c>
      <c r="L1266" s="140">
        <f>+K1266+J1266</f>
        <v>324670</v>
      </c>
      <c r="M1266" s="140"/>
      <c r="N1266" s="140">
        <f t="shared" ref="N1266" si="708">+M1266+L1266</f>
        <v>324670</v>
      </c>
      <c r="O1266" s="140">
        <v>267564</v>
      </c>
      <c r="P1266" s="67">
        <v>376038</v>
      </c>
      <c r="Q1266" s="87">
        <f t="shared" si="687"/>
        <v>0.15821603474296977</v>
      </c>
      <c r="R1266" s="204" t="s">
        <v>1089</v>
      </c>
    </row>
    <row r="1267" spans="1:26" ht="14.1" customHeight="1" x14ac:dyDescent="0.2">
      <c r="A1267" s="146" t="s">
        <v>707</v>
      </c>
      <c r="B1267" s="147"/>
      <c r="C1267" s="148" t="s">
        <v>400</v>
      </c>
      <c r="D1267" s="149">
        <v>747176</v>
      </c>
      <c r="E1267" s="151">
        <f>+E1268+E1269</f>
        <v>46118</v>
      </c>
      <c r="F1267" s="137">
        <f t="shared" ref="F1267:F1295" si="709">+E1267+D1267</f>
        <v>793294</v>
      </c>
      <c r="G1267" s="137">
        <f>+G1268+G1269</f>
        <v>2042</v>
      </c>
      <c r="H1267" s="137">
        <f>+H1268+H1269+H1294</f>
        <v>795336</v>
      </c>
      <c r="I1267" s="151">
        <f>+I1268+I1269</f>
        <v>579919</v>
      </c>
      <c r="J1267" s="152">
        <f>+J1268+J1269</f>
        <v>786157</v>
      </c>
      <c r="K1267" s="152">
        <f t="shared" ref="K1267:L1267" si="710">+K1268+K1269</f>
        <v>-30262</v>
      </c>
      <c r="L1267" s="152">
        <f t="shared" si="710"/>
        <v>755895</v>
      </c>
      <c r="M1267" s="152">
        <f t="shared" ref="M1267:N1267" si="711">+M1268+M1269</f>
        <v>34056</v>
      </c>
      <c r="N1267" s="152">
        <f t="shared" si="711"/>
        <v>789951</v>
      </c>
      <c r="O1267" s="152">
        <f>+O1268+O1269</f>
        <v>578095</v>
      </c>
      <c r="P1267" s="152">
        <f>+P1268+P1269</f>
        <v>898385</v>
      </c>
      <c r="Q1267" s="87">
        <f t="shared" si="687"/>
        <v>0.13726674186120405</v>
      </c>
      <c r="R1267" s="203" t="s">
        <v>1526</v>
      </c>
    </row>
    <row r="1268" spans="1:26" ht="14.1" customHeight="1" x14ac:dyDescent="0.2">
      <c r="A1268" s="94"/>
      <c r="B1268" s="95" t="s">
        <v>101</v>
      </c>
      <c r="C1268" s="96" t="s">
        <v>102</v>
      </c>
      <c r="D1268" s="43">
        <v>432000</v>
      </c>
      <c r="E1268" s="71">
        <v>2000</v>
      </c>
      <c r="F1268" s="98">
        <f t="shared" si="709"/>
        <v>434000</v>
      </c>
      <c r="G1268" s="98"/>
      <c r="H1268" s="98">
        <f>+G1268+F1268</f>
        <v>434000</v>
      </c>
      <c r="I1268" s="71">
        <v>342997</v>
      </c>
      <c r="J1268" s="73">
        <v>462361</v>
      </c>
      <c r="K1268" s="74">
        <v>0</v>
      </c>
      <c r="L1268" s="140">
        <f>+K1268+J1268</f>
        <v>462361</v>
      </c>
      <c r="M1268" s="92">
        <v>31127</v>
      </c>
      <c r="N1268" s="140">
        <f t="shared" ref="N1268" si="712">+M1268+L1268</f>
        <v>493488</v>
      </c>
      <c r="O1268" s="140">
        <v>347903</v>
      </c>
      <c r="P1268" s="67">
        <v>541640</v>
      </c>
      <c r="Q1268" s="87">
        <f t="shared" si="687"/>
        <v>9.7574814382517916E-2</v>
      </c>
      <c r="R1268" s="203" t="s">
        <v>1371</v>
      </c>
    </row>
    <row r="1269" spans="1:26" ht="14.1" customHeight="1" x14ac:dyDescent="0.2">
      <c r="A1269" s="94"/>
      <c r="B1269" s="95" t="s">
        <v>103</v>
      </c>
      <c r="C1269" s="96" t="s">
        <v>104</v>
      </c>
      <c r="D1269" s="43">
        <v>315146</v>
      </c>
      <c r="E1269" s="71">
        <f>+E1270+E1271+E1272+E1273+E1284+E1285+E1286+E1287+E1288+E1289+E1290+E1291+E1292+E1293</f>
        <v>44118</v>
      </c>
      <c r="F1269" s="98">
        <f t="shared" si="709"/>
        <v>359264</v>
      </c>
      <c r="G1269" s="98">
        <v>2042</v>
      </c>
      <c r="H1269" s="98">
        <f t="shared" ref="H1269:H1294" si="713">+G1269+F1269</f>
        <v>361306</v>
      </c>
      <c r="I1269" s="71">
        <f>+I1270+I1271+I1272+I1273+I1284+I1285+I1286+I1287+I1288+I1289+I1290+I1291+I1292+I1293</f>
        <v>236922</v>
      </c>
      <c r="J1269" s="73">
        <f>+J1270+J1271+J1272+J1273+J1284+J1285+J1286+J1287+J1288+J1289+J1290+J1291+J1292+J1293+J1294</f>
        <v>323796</v>
      </c>
      <c r="K1269" s="73">
        <f>+K1270+K1271+K1272+K1273+K1284+K1285+K1286+K1287+K1288+K1289+K1290+K1291+K1292+K1293+K1294</f>
        <v>-30262</v>
      </c>
      <c r="L1269" s="141">
        <f>+L1270+L1271+L1272+L1273+L1284+L1285+L1286+L1287+L1288+L1289+L1290+L1291+L1292+L1293</f>
        <v>293534</v>
      </c>
      <c r="M1269" s="141">
        <f t="shared" ref="M1269:N1269" si="714">+M1270+M1271+M1272+M1273+M1284+M1285+M1286+M1287+M1288+M1289+M1290+M1291+M1292+M1293</f>
        <v>2929</v>
      </c>
      <c r="N1269" s="141">
        <f t="shared" si="714"/>
        <v>296463</v>
      </c>
      <c r="O1269" s="141">
        <f>+O1270+O1271+O1272+O1273+O1284+O1285+O1286+O1287+O1288+O1289+O1290+O1291+O1292+O1293</f>
        <v>230192</v>
      </c>
      <c r="P1269" s="141">
        <f t="shared" ref="P1269" si="715">+P1270+P1271+P1272+P1273+P1284+P1285+P1286+P1287+P1288+P1289+P1290+P1291+P1292+P1293</f>
        <v>356745</v>
      </c>
      <c r="Q1269" s="87">
        <f t="shared" si="687"/>
        <v>0.20333734732496128</v>
      </c>
      <c r="R1269" s="203"/>
    </row>
    <row r="1270" spans="1:26" ht="14.1" customHeight="1" x14ac:dyDescent="0.2">
      <c r="A1270" s="89"/>
      <c r="B1270" s="90" t="s">
        <v>105</v>
      </c>
      <c r="C1270" s="72" t="s">
        <v>115</v>
      </c>
      <c r="D1270" s="102">
        <v>11800</v>
      </c>
      <c r="E1270" s="71"/>
      <c r="F1270" s="74">
        <f t="shared" si="709"/>
        <v>11800</v>
      </c>
      <c r="G1270" s="74"/>
      <c r="H1270" s="74">
        <f t="shared" si="713"/>
        <v>11800</v>
      </c>
      <c r="I1270" s="71">
        <v>9817</v>
      </c>
      <c r="J1270" s="73">
        <v>17000</v>
      </c>
      <c r="K1270" s="74"/>
      <c r="L1270" s="74">
        <v>17000</v>
      </c>
      <c r="M1270" s="74"/>
      <c r="N1270" s="74">
        <f>+L1270+M1270</f>
        <v>17000</v>
      </c>
      <c r="O1270" s="74">
        <v>13695</v>
      </c>
      <c r="P1270" s="67">
        <v>19000</v>
      </c>
      <c r="Q1270" s="87">
        <f t="shared" si="687"/>
        <v>0.11764705882352941</v>
      </c>
      <c r="R1270" s="206"/>
    </row>
    <row r="1271" spans="1:26" ht="14.1" customHeight="1" x14ac:dyDescent="0.2">
      <c r="A1271" s="89"/>
      <c r="B1271" s="90" t="s">
        <v>117</v>
      </c>
      <c r="C1271" s="72" t="s">
        <v>107</v>
      </c>
      <c r="D1271" s="102">
        <v>1000</v>
      </c>
      <c r="E1271" s="71"/>
      <c r="F1271" s="74">
        <f t="shared" si="709"/>
        <v>1000</v>
      </c>
      <c r="G1271" s="74"/>
      <c r="H1271" s="74">
        <f t="shared" si="713"/>
        <v>1000</v>
      </c>
      <c r="I1271" s="71"/>
      <c r="J1271" s="73">
        <v>1000</v>
      </c>
      <c r="K1271" s="74"/>
      <c r="L1271" s="74">
        <v>1000</v>
      </c>
      <c r="M1271" s="74"/>
      <c r="N1271" s="74">
        <f t="shared" ref="N1271:N1272" si="716">+L1271+M1271</f>
        <v>1000</v>
      </c>
      <c r="O1271" s="74">
        <v>1834</v>
      </c>
      <c r="P1271" s="67">
        <v>1100</v>
      </c>
      <c r="Q1271" s="87">
        <f t="shared" si="687"/>
        <v>0.1</v>
      </c>
      <c r="R1271" s="206"/>
    </row>
    <row r="1272" spans="1:26" ht="14.1" customHeight="1" x14ac:dyDescent="0.2">
      <c r="A1272" s="89"/>
      <c r="B1272" s="90" t="s">
        <v>108</v>
      </c>
      <c r="C1272" s="72" t="s">
        <v>118</v>
      </c>
      <c r="D1272" s="102">
        <v>3000</v>
      </c>
      <c r="E1272" s="71"/>
      <c r="F1272" s="74">
        <f t="shared" si="709"/>
        <v>3000</v>
      </c>
      <c r="G1272" s="74"/>
      <c r="H1272" s="74">
        <f t="shared" si="713"/>
        <v>3000</v>
      </c>
      <c r="I1272" s="71">
        <v>95</v>
      </c>
      <c r="J1272" s="73">
        <v>3000</v>
      </c>
      <c r="K1272" s="74"/>
      <c r="L1272" s="74">
        <v>3000</v>
      </c>
      <c r="M1272" s="74"/>
      <c r="N1272" s="74">
        <f t="shared" si="716"/>
        <v>3000</v>
      </c>
      <c r="O1272" s="74">
        <v>1136</v>
      </c>
      <c r="P1272" s="67">
        <v>3000</v>
      </c>
      <c r="Q1272" s="87">
        <f t="shared" si="687"/>
        <v>0</v>
      </c>
      <c r="R1272" s="203"/>
    </row>
    <row r="1273" spans="1:26" ht="14.1" customHeight="1" x14ac:dyDescent="0.2">
      <c r="A1273" s="89"/>
      <c r="B1273" s="90" t="s">
        <v>119</v>
      </c>
      <c r="C1273" s="72" t="s">
        <v>110</v>
      </c>
      <c r="D1273" s="102">
        <v>139410</v>
      </c>
      <c r="E1273" s="71"/>
      <c r="F1273" s="74">
        <f t="shared" si="709"/>
        <v>139410</v>
      </c>
      <c r="G1273" s="74"/>
      <c r="H1273" s="74">
        <f t="shared" si="713"/>
        <v>139410</v>
      </c>
      <c r="I1273" s="71">
        <f>SUM(I1274:I1283)</f>
        <v>100916</v>
      </c>
      <c r="J1273" s="73">
        <f>SUM(J1274:J1283)</f>
        <v>139710</v>
      </c>
      <c r="K1273" s="73">
        <f t="shared" ref="K1273:O1273" si="717">SUM(K1274:K1283)</f>
        <v>0</v>
      </c>
      <c r="L1273" s="73">
        <f t="shared" si="717"/>
        <v>139710</v>
      </c>
      <c r="M1273" s="73">
        <f t="shared" si="717"/>
        <v>0</v>
      </c>
      <c r="N1273" s="73">
        <f t="shared" si="717"/>
        <v>139710</v>
      </c>
      <c r="O1273" s="73">
        <f t="shared" si="717"/>
        <v>107147</v>
      </c>
      <c r="P1273" s="127">
        <f t="shared" ref="P1273" si="718">SUM(P1274:P1283)</f>
        <v>186945</v>
      </c>
      <c r="Q1273" s="87">
        <f t="shared" si="687"/>
        <v>0.33809319304273139</v>
      </c>
      <c r="R1273" s="206" t="s">
        <v>817</v>
      </c>
      <c r="S1273" s="49"/>
    </row>
    <row r="1274" spans="1:26" s="49" customFormat="1" ht="14.1" customHeight="1" x14ac:dyDescent="0.2">
      <c r="A1274" s="184"/>
      <c r="B1274" s="185"/>
      <c r="C1274" s="154" t="s">
        <v>223</v>
      </c>
      <c r="D1274" s="157">
        <v>60000</v>
      </c>
      <c r="E1274" s="158"/>
      <c r="F1274" s="153">
        <f t="shared" si="709"/>
        <v>60000</v>
      </c>
      <c r="G1274" s="153"/>
      <c r="H1274" s="153">
        <f t="shared" si="713"/>
        <v>60000</v>
      </c>
      <c r="I1274" s="158">
        <v>39687</v>
      </c>
      <c r="J1274" s="159">
        <v>60000</v>
      </c>
      <c r="K1274" s="153"/>
      <c r="L1274" s="153">
        <v>60000</v>
      </c>
      <c r="M1274" s="153"/>
      <c r="N1274" s="153">
        <f t="shared" ref="N1274:N1282" si="719">+L1274+M1274</f>
        <v>60000</v>
      </c>
      <c r="O1274" s="153">
        <v>38565</v>
      </c>
      <c r="P1274" s="155">
        <v>90000</v>
      </c>
      <c r="Q1274" s="87">
        <f t="shared" si="687"/>
        <v>0.5</v>
      </c>
      <c r="R1274" s="203"/>
      <c r="S1274" s="56"/>
      <c r="U1274" s="56"/>
      <c r="V1274" s="56"/>
      <c r="W1274" s="56"/>
      <c r="X1274" s="56"/>
      <c r="Y1274" s="56"/>
      <c r="Z1274" s="56"/>
    </row>
    <row r="1275" spans="1:26" s="49" customFormat="1" ht="14.1" customHeight="1" x14ac:dyDescent="0.2">
      <c r="A1275" s="184"/>
      <c r="B1275" s="185"/>
      <c r="C1275" s="154" t="s">
        <v>224</v>
      </c>
      <c r="D1275" s="157">
        <v>25000</v>
      </c>
      <c r="E1275" s="158"/>
      <c r="F1275" s="153">
        <f t="shared" si="709"/>
        <v>25000</v>
      </c>
      <c r="G1275" s="153"/>
      <c r="H1275" s="153">
        <f t="shared" si="713"/>
        <v>25000</v>
      </c>
      <c r="I1275" s="158">
        <v>17187</v>
      </c>
      <c r="J1275" s="159">
        <v>30000</v>
      </c>
      <c r="K1275" s="153"/>
      <c r="L1275" s="153">
        <v>30000</v>
      </c>
      <c r="M1275" s="153"/>
      <c r="N1275" s="153">
        <f t="shared" si="719"/>
        <v>30000</v>
      </c>
      <c r="O1275" s="153">
        <v>27980</v>
      </c>
      <c r="P1275" s="155">
        <v>45000</v>
      </c>
      <c r="Q1275" s="87">
        <f t="shared" si="687"/>
        <v>0.5</v>
      </c>
      <c r="R1275" s="206"/>
      <c r="S1275" s="56"/>
      <c r="U1275" s="56"/>
      <c r="V1275" s="56"/>
      <c r="W1275" s="56"/>
      <c r="X1275" s="56"/>
      <c r="Y1275" s="56"/>
      <c r="Z1275" s="56"/>
    </row>
    <row r="1276" spans="1:26" s="49" customFormat="1" ht="14.1" customHeight="1" x14ac:dyDescent="0.2">
      <c r="A1276" s="184"/>
      <c r="B1276" s="185"/>
      <c r="C1276" s="154" t="s">
        <v>225</v>
      </c>
      <c r="D1276" s="157">
        <v>7000</v>
      </c>
      <c r="E1276" s="158"/>
      <c r="F1276" s="153">
        <f t="shared" si="709"/>
        <v>7000</v>
      </c>
      <c r="G1276" s="153"/>
      <c r="H1276" s="153">
        <f t="shared" si="713"/>
        <v>7000</v>
      </c>
      <c r="I1276" s="158">
        <v>4201</v>
      </c>
      <c r="J1276" s="159">
        <v>7000</v>
      </c>
      <c r="K1276" s="153"/>
      <c r="L1276" s="153">
        <v>7000</v>
      </c>
      <c r="M1276" s="153"/>
      <c r="N1276" s="153">
        <f t="shared" si="719"/>
        <v>7000</v>
      </c>
      <c r="O1276" s="153">
        <v>5313</v>
      </c>
      <c r="P1276" s="155">
        <v>7000</v>
      </c>
      <c r="Q1276" s="87">
        <f t="shared" si="687"/>
        <v>0</v>
      </c>
      <c r="R1276" s="203"/>
      <c r="S1276" s="56"/>
      <c r="U1276" s="56"/>
      <c r="V1276" s="56"/>
      <c r="W1276" s="56"/>
      <c r="X1276" s="56"/>
      <c r="Y1276" s="56"/>
      <c r="Z1276" s="56"/>
    </row>
    <row r="1277" spans="1:26" s="49" customFormat="1" ht="14.1" customHeight="1" x14ac:dyDescent="0.2">
      <c r="A1277" s="184"/>
      <c r="B1277" s="185"/>
      <c r="C1277" s="154" t="s">
        <v>226</v>
      </c>
      <c r="D1277" s="157">
        <v>17000</v>
      </c>
      <c r="E1277" s="158"/>
      <c r="F1277" s="153">
        <f t="shared" si="709"/>
        <v>17000</v>
      </c>
      <c r="G1277" s="153"/>
      <c r="H1277" s="153">
        <f t="shared" si="713"/>
        <v>17000</v>
      </c>
      <c r="I1277" s="158">
        <v>16790</v>
      </c>
      <c r="J1277" s="159">
        <v>17000</v>
      </c>
      <c r="K1277" s="153"/>
      <c r="L1277" s="153">
        <v>17000</v>
      </c>
      <c r="M1277" s="153"/>
      <c r="N1277" s="153">
        <f t="shared" si="719"/>
        <v>17000</v>
      </c>
      <c r="O1277" s="153">
        <v>16245</v>
      </c>
      <c r="P1277" s="155">
        <v>18000</v>
      </c>
      <c r="Q1277" s="87">
        <f t="shared" si="687"/>
        <v>5.8823529411764705E-2</v>
      </c>
      <c r="R1277" s="206"/>
      <c r="S1277" s="56"/>
      <c r="U1277" s="56"/>
      <c r="V1277" s="56"/>
      <c r="W1277" s="56"/>
      <c r="X1277" s="56"/>
      <c r="Y1277" s="56"/>
      <c r="Z1277" s="56"/>
    </row>
    <row r="1278" spans="1:26" s="49" customFormat="1" ht="14.1" customHeight="1" x14ac:dyDescent="0.2">
      <c r="A1278" s="184"/>
      <c r="B1278" s="185"/>
      <c r="C1278" s="154" t="s">
        <v>227</v>
      </c>
      <c r="D1278" s="157">
        <v>18000</v>
      </c>
      <c r="E1278" s="158"/>
      <c r="F1278" s="153">
        <f t="shared" si="709"/>
        <v>18000</v>
      </c>
      <c r="G1278" s="153"/>
      <c r="H1278" s="153">
        <f t="shared" si="713"/>
        <v>18000</v>
      </c>
      <c r="I1278" s="158">
        <v>15663</v>
      </c>
      <c r="J1278" s="159">
        <v>18000</v>
      </c>
      <c r="K1278" s="153"/>
      <c r="L1278" s="153">
        <v>18000</v>
      </c>
      <c r="M1278" s="153"/>
      <c r="N1278" s="153">
        <f t="shared" si="719"/>
        <v>18000</v>
      </c>
      <c r="O1278" s="153">
        <v>9036</v>
      </c>
      <c r="P1278" s="155">
        <v>15000</v>
      </c>
      <c r="Q1278" s="87">
        <f t="shared" si="687"/>
        <v>-0.16666666666666666</v>
      </c>
      <c r="R1278" s="203"/>
      <c r="S1278" s="56"/>
      <c r="U1278" s="56"/>
      <c r="V1278" s="56"/>
      <c r="W1278" s="56"/>
      <c r="X1278" s="56"/>
      <c r="Y1278" s="56"/>
      <c r="Z1278" s="56"/>
    </row>
    <row r="1279" spans="1:26" s="49" customFormat="1" ht="14.1" customHeight="1" x14ac:dyDescent="0.2">
      <c r="A1279" s="184"/>
      <c r="B1279" s="185"/>
      <c r="C1279" s="154" t="s">
        <v>228</v>
      </c>
      <c r="D1279" s="157">
        <v>2500</v>
      </c>
      <c r="E1279" s="158"/>
      <c r="F1279" s="153">
        <f t="shared" si="709"/>
        <v>2500</v>
      </c>
      <c r="G1279" s="153"/>
      <c r="H1279" s="153">
        <f t="shared" si="713"/>
        <v>2500</v>
      </c>
      <c r="I1279" s="158">
        <v>2948</v>
      </c>
      <c r="J1279" s="159">
        <v>2500</v>
      </c>
      <c r="K1279" s="153"/>
      <c r="L1279" s="153">
        <v>2500</v>
      </c>
      <c r="M1279" s="153"/>
      <c r="N1279" s="153">
        <f t="shared" si="719"/>
        <v>2500</v>
      </c>
      <c r="O1279" s="153">
        <v>4858</v>
      </c>
      <c r="P1279" s="155">
        <v>6000</v>
      </c>
      <c r="Q1279" s="87">
        <f t="shared" si="687"/>
        <v>1.4</v>
      </c>
      <c r="R1279" s="203"/>
      <c r="S1279" s="56"/>
      <c r="U1279" s="56"/>
      <c r="V1279" s="56"/>
      <c r="W1279" s="56"/>
      <c r="X1279" s="56"/>
      <c r="Y1279" s="56"/>
      <c r="Z1279" s="56"/>
    </row>
    <row r="1280" spans="1:26" s="49" customFormat="1" ht="14.1" customHeight="1" x14ac:dyDescent="0.2">
      <c r="A1280" s="184"/>
      <c r="B1280" s="185"/>
      <c r="C1280" s="154" t="s">
        <v>230</v>
      </c>
      <c r="D1280" s="157">
        <v>7000</v>
      </c>
      <c r="E1280" s="158"/>
      <c r="F1280" s="153">
        <f t="shared" si="709"/>
        <v>7000</v>
      </c>
      <c r="G1280" s="153"/>
      <c r="H1280" s="153">
        <f t="shared" si="713"/>
        <v>7000</v>
      </c>
      <c r="I1280" s="158"/>
      <c r="J1280" s="159">
        <v>2000</v>
      </c>
      <c r="K1280" s="153"/>
      <c r="L1280" s="153">
        <v>2000</v>
      </c>
      <c r="M1280" s="153"/>
      <c r="N1280" s="153">
        <f t="shared" si="719"/>
        <v>2000</v>
      </c>
      <c r="O1280" s="153"/>
      <c r="P1280" s="155">
        <v>2000</v>
      </c>
      <c r="Q1280" s="87">
        <f t="shared" si="687"/>
        <v>0</v>
      </c>
      <c r="R1280" s="203"/>
      <c r="S1280" s="56"/>
      <c r="U1280" s="56"/>
      <c r="V1280" s="56"/>
      <c r="W1280" s="56"/>
      <c r="X1280" s="56"/>
      <c r="Y1280" s="56"/>
      <c r="Z1280" s="56"/>
    </row>
    <row r="1281" spans="1:26" s="49" customFormat="1" ht="14.1" customHeight="1" x14ac:dyDescent="0.2">
      <c r="A1281" s="184"/>
      <c r="B1281" s="185"/>
      <c r="C1281" s="154" t="s">
        <v>231</v>
      </c>
      <c r="D1281" s="157">
        <v>710</v>
      </c>
      <c r="E1281" s="158"/>
      <c r="F1281" s="153">
        <f t="shared" si="709"/>
        <v>710</v>
      </c>
      <c r="G1281" s="153"/>
      <c r="H1281" s="153">
        <f t="shared" si="713"/>
        <v>710</v>
      </c>
      <c r="I1281" s="158"/>
      <c r="J1281" s="159">
        <v>710</v>
      </c>
      <c r="K1281" s="153"/>
      <c r="L1281" s="153">
        <v>710</v>
      </c>
      <c r="M1281" s="153"/>
      <c r="N1281" s="153">
        <f t="shared" si="719"/>
        <v>710</v>
      </c>
      <c r="O1281" s="153">
        <v>1445</v>
      </c>
      <c r="P1281" s="155">
        <v>1445</v>
      </c>
      <c r="Q1281" s="87">
        <f t="shared" si="687"/>
        <v>1.0352112676056338</v>
      </c>
      <c r="R1281" s="206"/>
      <c r="S1281" s="56"/>
      <c r="U1281" s="56"/>
      <c r="V1281" s="56"/>
      <c r="W1281" s="56"/>
      <c r="X1281" s="56"/>
      <c r="Y1281" s="56"/>
      <c r="Z1281" s="56"/>
    </row>
    <row r="1282" spans="1:26" s="49" customFormat="1" ht="14.1" customHeight="1" x14ac:dyDescent="0.2">
      <c r="A1282" s="184"/>
      <c r="B1282" s="185"/>
      <c r="C1282" s="154" t="s">
        <v>401</v>
      </c>
      <c r="D1282" s="157">
        <v>1700</v>
      </c>
      <c r="E1282" s="158"/>
      <c r="F1282" s="153">
        <f t="shared" si="709"/>
        <v>1700</v>
      </c>
      <c r="G1282" s="153"/>
      <c r="H1282" s="153">
        <f t="shared" si="713"/>
        <v>1700</v>
      </c>
      <c r="I1282" s="158">
        <v>1200</v>
      </c>
      <c r="J1282" s="159">
        <v>2000</v>
      </c>
      <c r="K1282" s="153"/>
      <c r="L1282" s="153">
        <v>2000</v>
      </c>
      <c r="M1282" s="153"/>
      <c r="N1282" s="153">
        <f t="shared" si="719"/>
        <v>2000</v>
      </c>
      <c r="O1282" s="153">
        <v>1988</v>
      </c>
      <c r="P1282" s="155">
        <v>1500</v>
      </c>
      <c r="Q1282" s="87">
        <f t="shared" si="687"/>
        <v>-0.25</v>
      </c>
      <c r="R1282" s="203" t="s">
        <v>1090</v>
      </c>
      <c r="S1282" s="56"/>
      <c r="U1282" s="56"/>
      <c r="V1282" s="56"/>
      <c r="W1282" s="56"/>
      <c r="X1282" s="56"/>
      <c r="Y1282" s="56"/>
      <c r="Z1282" s="56"/>
    </row>
    <row r="1283" spans="1:26" s="49" customFormat="1" ht="14.1" customHeight="1" x14ac:dyDescent="0.2">
      <c r="A1283" s="184"/>
      <c r="B1283" s="185"/>
      <c r="C1283" s="154" t="s">
        <v>652</v>
      </c>
      <c r="D1283" s="157">
        <v>500</v>
      </c>
      <c r="E1283" s="158"/>
      <c r="F1283" s="153">
        <f t="shared" si="709"/>
        <v>500</v>
      </c>
      <c r="G1283" s="153"/>
      <c r="H1283" s="153">
        <f t="shared" si="713"/>
        <v>500</v>
      </c>
      <c r="I1283" s="158">
        <v>3240</v>
      </c>
      <c r="J1283" s="159">
        <v>500</v>
      </c>
      <c r="K1283" s="153"/>
      <c r="L1283" s="153">
        <v>500</v>
      </c>
      <c r="M1283" s="153"/>
      <c r="N1283" s="153">
        <f>+L1283+M1283</f>
        <v>500</v>
      </c>
      <c r="O1283" s="153">
        <v>1717</v>
      </c>
      <c r="P1283" s="155">
        <v>1000</v>
      </c>
      <c r="Q1283" s="87">
        <f t="shared" si="687"/>
        <v>1</v>
      </c>
      <c r="R1283" s="203"/>
      <c r="S1283" s="56"/>
      <c r="U1283" s="56"/>
      <c r="V1283" s="56"/>
      <c r="W1283" s="56"/>
      <c r="X1283" s="56"/>
      <c r="Y1283" s="56"/>
      <c r="Z1283" s="56"/>
    </row>
    <row r="1284" spans="1:26" ht="14.1" customHeight="1" x14ac:dyDescent="0.2">
      <c r="A1284" s="89"/>
      <c r="B1284" s="90" t="s">
        <v>129</v>
      </c>
      <c r="C1284" s="72" t="s">
        <v>130</v>
      </c>
      <c r="D1284" s="102">
        <v>14536</v>
      </c>
      <c r="E1284" s="71"/>
      <c r="F1284" s="74">
        <f t="shared" si="709"/>
        <v>14536</v>
      </c>
      <c r="G1284" s="74"/>
      <c r="H1284" s="74">
        <f t="shared" si="713"/>
        <v>14536</v>
      </c>
      <c r="I1284" s="71">
        <v>6362</v>
      </c>
      <c r="J1284" s="73">
        <v>14586</v>
      </c>
      <c r="K1284" s="74">
        <v>-2586</v>
      </c>
      <c r="L1284" s="74">
        <f>+K1284+J1284</f>
        <v>12000</v>
      </c>
      <c r="M1284" s="74"/>
      <c r="N1284" s="74">
        <f t="shared" ref="N1284:N1291" si="720">+M1284+L1284</f>
        <v>12000</v>
      </c>
      <c r="O1284" s="74">
        <v>7621</v>
      </c>
      <c r="P1284" s="67">
        <v>10300</v>
      </c>
      <c r="Q1284" s="87">
        <f t="shared" si="687"/>
        <v>-0.14166666666666666</v>
      </c>
      <c r="R1284" s="203" t="s">
        <v>1091</v>
      </c>
    </row>
    <row r="1285" spans="1:26" ht="14.1" customHeight="1" x14ac:dyDescent="0.2">
      <c r="A1285" s="89"/>
      <c r="B1285" s="90" t="s">
        <v>131</v>
      </c>
      <c r="C1285" s="72" t="s">
        <v>112</v>
      </c>
      <c r="D1285" s="102">
        <v>36000</v>
      </c>
      <c r="E1285" s="71">
        <v>6571</v>
      </c>
      <c r="F1285" s="74">
        <f t="shared" si="709"/>
        <v>42571</v>
      </c>
      <c r="G1285" s="74"/>
      <c r="H1285" s="74">
        <f t="shared" si="713"/>
        <v>42571</v>
      </c>
      <c r="I1285" s="71">
        <v>49111</v>
      </c>
      <c r="J1285" s="73">
        <v>44000</v>
      </c>
      <c r="K1285" s="74"/>
      <c r="L1285" s="74">
        <v>44000</v>
      </c>
      <c r="M1285" s="74"/>
      <c r="N1285" s="74">
        <f t="shared" si="720"/>
        <v>44000</v>
      </c>
      <c r="O1285" s="74">
        <v>35700</v>
      </c>
      <c r="P1285" s="67">
        <v>44000</v>
      </c>
      <c r="Q1285" s="87">
        <f t="shared" si="687"/>
        <v>0</v>
      </c>
      <c r="R1285" s="203" t="s">
        <v>1540</v>
      </c>
    </row>
    <row r="1286" spans="1:26" ht="14.1" customHeight="1" x14ac:dyDescent="0.2">
      <c r="A1286" s="89"/>
      <c r="B1286" s="90" t="s">
        <v>132</v>
      </c>
      <c r="C1286" s="72" t="s">
        <v>133</v>
      </c>
      <c r="D1286" s="102">
        <v>35000</v>
      </c>
      <c r="E1286" s="71"/>
      <c r="F1286" s="74">
        <f t="shared" si="709"/>
        <v>35000</v>
      </c>
      <c r="G1286" s="74">
        <v>2042</v>
      </c>
      <c r="H1286" s="74">
        <f t="shared" si="713"/>
        <v>37042</v>
      </c>
      <c r="I1286" s="71">
        <v>19706</v>
      </c>
      <c r="J1286" s="73">
        <v>30000</v>
      </c>
      <c r="K1286" s="74">
        <v>-7676</v>
      </c>
      <c r="L1286" s="74">
        <f>+K1286+J1286</f>
        <v>22324</v>
      </c>
      <c r="M1286" s="74"/>
      <c r="N1286" s="74">
        <f t="shared" si="720"/>
        <v>22324</v>
      </c>
      <c r="O1286" s="74">
        <v>4979</v>
      </c>
      <c r="P1286" s="67">
        <v>20000</v>
      </c>
      <c r="Q1286" s="87">
        <f t="shared" si="687"/>
        <v>-0.10410320731051782</v>
      </c>
      <c r="R1286" s="203" t="s">
        <v>1092</v>
      </c>
    </row>
    <row r="1287" spans="1:26" ht="14.1" customHeight="1" x14ac:dyDescent="0.2">
      <c r="A1287" s="89"/>
      <c r="B1287" s="90" t="s">
        <v>134</v>
      </c>
      <c r="C1287" s="72" t="s">
        <v>402</v>
      </c>
      <c r="D1287" s="102">
        <v>2500</v>
      </c>
      <c r="E1287" s="71"/>
      <c r="F1287" s="74">
        <f t="shared" si="709"/>
        <v>2500</v>
      </c>
      <c r="G1287" s="74"/>
      <c r="H1287" s="74">
        <f t="shared" si="713"/>
        <v>2500</v>
      </c>
      <c r="I1287" s="71">
        <v>9455</v>
      </c>
      <c r="J1287" s="73">
        <v>2500</v>
      </c>
      <c r="K1287" s="74"/>
      <c r="L1287" s="74">
        <v>2500</v>
      </c>
      <c r="M1287" s="74"/>
      <c r="N1287" s="74">
        <f t="shared" si="720"/>
        <v>2500</v>
      </c>
      <c r="O1287" s="74">
        <v>3485</v>
      </c>
      <c r="P1287" s="67">
        <v>4000</v>
      </c>
      <c r="Q1287" s="87">
        <f t="shared" si="687"/>
        <v>0.6</v>
      </c>
      <c r="R1287" s="203" t="s">
        <v>1093</v>
      </c>
    </row>
    <row r="1288" spans="1:26" ht="14.1" customHeight="1" x14ac:dyDescent="0.2">
      <c r="A1288" s="89"/>
      <c r="B1288" s="90">
        <v>5521</v>
      </c>
      <c r="C1288" s="72" t="s">
        <v>263</v>
      </c>
      <c r="D1288" s="102">
        <v>0</v>
      </c>
      <c r="E1288" s="71"/>
      <c r="F1288" s="74">
        <f t="shared" si="709"/>
        <v>0</v>
      </c>
      <c r="G1288" s="74"/>
      <c r="H1288" s="74">
        <f t="shared" si="713"/>
        <v>0</v>
      </c>
      <c r="I1288" s="71"/>
      <c r="J1288" s="73">
        <v>0</v>
      </c>
      <c r="K1288" s="74"/>
      <c r="L1288" s="74">
        <v>0</v>
      </c>
      <c r="M1288" s="74"/>
      <c r="N1288" s="74">
        <f t="shared" si="720"/>
        <v>0</v>
      </c>
      <c r="O1288" s="74">
        <v>2418</v>
      </c>
      <c r="P1288" s="67">
        <f>+N1288+M1288</f>
        <v>0</v>
      </c>
      <c r="Q1288" s="87" t="e">
        <f t="shared" si="687"/>
        <v>#DIV/0!</v>
      </c>
      <c r="R1288" s="203"/>
    </row>
    <row r="1289" spans="1:26" ht="14.1" customHeight="1" x14ac:dyDescent="0.2">
      <c r="A1289" s="89"/>
      <c r="B1289" s="90" t="s">
        <v>136</v>
      </c>
      <c r="C1289" s="72" t="s">
        <v>137</v>
      </c>
      <c r="D1289" s="102">
        <v>1200</v>
      </c>
      <c r="E1289" s="71"/>
      <c r="F1289" s="74">
        <f t="shared" si="709"/>
        <v>1200</v>
      </c>
      <c r="G1289" s="74"/>
      <c r="H1289" s="74">
        <f t="shared" si="713"/>
        <v>1200</v>
      </c>
      <c r="I1289" s="71">
        <v>1657</v>
      </c>
      <c r="J1289" s="73">
        <v>1300</v>
      </c>
      <c r="K1289" s="74"/>
      <c r="L1289" s="74">
        <v>1300</v>
      </c>
      <c r="M1289" s="74"/>
      <c r="N1289" s="74">
        <f t="shared" si="720"/>
        <v>1300</v>
      </c>
      <c r="O1289" s="74">
        <v>783</v>
      </c>
      <c r="P1289" s="67">
        <v>1400</v>
      </c>
      <c r="Q1289" s="87">
        <f t="shared" si="687"/>
        <v>7.6923076923076927E-2</v>
      </c>
      <c r="R1289" s="203"/>
    </row>
    <row r="1290" spans="1:26" ht="14.1" customHeight="1" x14ac:dyDescent="0.2">
      <c r="A1290" s="89"/>
      <c r="B1290" s="90" t="s">
        <v>279</v>
      </c>
      <c r="C1290" s="72" t="s">
        <v>280</v>
      </c>
      <c r="D1290" s="102">
        <v>700</v>
      </c>
      <c r="E1290" s="71"/>
      <c r="F1290" s="74">
        <f t="shared" si="709"/>
        <v>700</v>
      </c>
      <c r="G1290" s="74"/>
      <c r="H1290" s="74">
        <f t="shared" si="713"/>
        <v>700</v>
      </c>
      <c r="I1290" s="71">
        <v>353</v>
      </c>
      <c r="J1290" s="73">
        <v>700</v>
      </c>
      <c r="K1290" s="74"/>
      <c r="L1290" s="74">
        <v>700</v>
      </c>
      <c r="M1290" s="74"/>
      <c r="N1290" s="74">
        <f t="shared" si="720"/>
        <v>700</v>
      </c>
      <c r="O1290" s="74">
        <v>710</v>
      </c>
      <c r="P1290" s="67">
        <v>700</v>
      </c>
      <c r="Q1290" s="87">
        <f t="shared" si="687"/>
        <v>0</v>
      </c>
      <c r="R1290" s="206"/>
    </row>
    <row r="1291" spans="1:26" ht="14.1" customHeight="1" x14ac:dyDescent="0.2">
      <c r="A1291" s="89"/>
      <c r="B1291" s="90" t="s">
        <v>344</v>
      </c>
      <c r="C1291" s="72" t="s">
        <v>240</v>
      </c>
      <c r="D1291" s="102">
        <v>25000</v>
      </c>
      <c r="E1291" s="71">
        <v>31543</v>
      </c>
      <c r="F1291" s="74">
        <f t="shared" si="709"/>
        <v>56543</v>
      </c>
      <c r="G1291" s="74"/>
      <c r="H1291" s="74">
        <f t="shared" si="713"/>
        <v>56543</v>
      </c>
      <c r="I1291" s="71">
        <v>24812</v>
      </c>
      <c r="J1291" s="73">
        <v>25000</v>
      </c>
      <c r="K1291" s="74"/>
      <c r="L1291" s="74">
        <v>25000</v>
      </c>
      <c r="M1291" s="74"/>
      <c r="N1291" s="74">
        <f t="shared" si="720"/>
        <v>25000</v>
      </c>
      <c r="O1291" s="74">
        <v>21851</v>
      </c>
      <c r="P1291" s="67">
        <v>35000</v>
      </c>
      <c r="Q1291" s="87">
        <f t="shared" si="687"/>
        <v>0.4</v>
      </c>
      <c r="R1291" s="203" t="s">
        <v>1095</v>
      </c>
    </row>
    <row r="1292" spans="1:26" ht="14.1" customHeight="1" x14ac:dyDescent="0.2">
      <c r="A1292" s="89"/>
      <c r="B1292" s="90" t="s">
        <v>138</v>
      </c>
      <c r="C1292" s="72" t="s">
        <v>139</v>
      </c>
      <c r="D1292" s="102">
        <v>15000</v>
      </c>
      <c r="E1292" s="71">
        <v>1160</v>
      </c>
      <c r="F1292" s="74">
        <f t="shared" si="709"/>
        <v>16160</v>
      </c>
      <c r="G1292" s="74"/>
      <c r="H1292" s="74">
        <f t="shared" si="713"/>
        <v>16160</v>
      </c>
      <c r="I1292" s="71">
        <v>9192</v>
      </c>
      <c r="J1292" s="73">
        <v>15000</v>
      </c>
      <c r="K1292" s="74">
        <v>-5000</v>
      </c>
      <c r="L1292" s="74">
        <f>+K1292+J1292</f>
        <v>10000</v>
      </c>
      <c r="M1292" s="92">
        <v>389</v>
      </c>
      <c r="N1292" s="74">
        <f t="shared" ref="N1292" si="721">+M1292+L1292</f>
        <v>10389</v>
      </c>
      <c r="O1292" s="74">
        <v>11947</v>
      </c>
      <c r="P1292" s="67">
        <v>12000</v>
      </c>
      <c r="Q1292" s="87">
        <f t="shared" si="687"/>
        <v>0.15506786023678892</v>
      </c>
      <c r="R1292" s="203" t="s">
        <v>1094</v>
      </c>
    </row>
    <row r="1293" spans="1:26" ht="14.1" customHeight="1" x14ac:dyDescent="0.2">
      <c r="A1293" s="89"/>
      <c r="B1293" s="90" t="s">
        <v>164</v>
      </c>
      <c r="C1293" s="72" t="s">
        <v>193</v>
      </c>
      <c r="D1293" s="102">
        <v>30000</v>
      </c>
      <c r="E1293" s="71">
        <v>4844</v>
      </c>
      <c r="F1293" s="74">
        <f t="shared" si="709"/>
        <v>34844</v>
      </c>
      <c r="G1293" s="74"/>
      <c r="H1293" s="74">
        <f t="shared" si="713"/>
        <v>34844</v>
      </c>
      <c r="I1293" s="71">
        <v>5446</v>
      </c>
      <c r="J1293" s="73">
        <v>30000</v>
      </c>
      <c r="K1293" s="74">
        <v>-15000</v>
      </c>
      <c r="L1293" s="74">
        <f>+K1293+J1293</f>
        <v>15000</v>
      </c>
      <c r="M1293" s="92">
        <v>2540</v>
      </c>
      <c r="N1293" s="74">
        <f t="shared" ref="N1293" si="722">+M1293+L1293</f>
        <v>17540</v>
      </c>
      <c r="O1293" s="74">
        <v>16886</v>
      </c>
      <c r="P1293" s="67">
        <v>19300</v>
      </c>
      <c r="Q1293" s="87">
        <f t="shared" si="687"/>
        <v>0.10034207525655645</v>
      </c>
      <c r="R1293" s="203" t="s">
        <v>1541</v>
      </c>
    </row>
    <row r="1294" spans="1:26" ht="14.1" hidden="1" customHeight="1" x14ac:dyDescent="0.2">
      <c r="A1294" s="89"/>
      <c r="B1294" s="90">
        <v>6</v>
      </c>
      <c r="C1294" s="72" t="s">
        <v>403</v>
      </c>
      <c r="D1294" s="102">
        <v>30</v>
      </c>
      <c r="E1294" s="71"/>
      <c r="F1294" s="74">
        <f t="shared" si="709"/>
        <v>30</v>
      </c>
      <c r="G1294" s="74"/>
      <c r="H1294" s="74">
        <f t="shared" si="713"/>
        <v>30</v>
      </c>
      <c r="I1294" s="71"/>
      <c r="J1294" s="73"/>
      <c r="K1294" s="74"/>
      <c r="L1294" s="74"/>
      <c r="M1294" s="74"/>
      <c r="N1294" s="74"/>
      <c r="Q1294" s="87" t="e">
        <f t="shared" si="687"/>
        <v>#DIV/0!</v>
      </c>
      <c r="R1294" s="203"/>
    </row>
    <row r="1295" spans="1:26" ht="14.1" customHeight="1" x14ac:dyDescent="0.2">
      <c r="A1295" s="164" t="s">
        <v>708</v>
      </c>
      <c r="B1295" s="147"/>
      <c r="C1295" s="148" t="s">
        <v>404</v>
      </c>
      <c r="D1295" s="149">
        <v>69362</v>
      </c>
      <c r="E1295" s="150"/>
      <c r="F1295" s="137">
        <f t="shared" si="709"/>
        <v>69362</v>
      </c>
      <c r="G1295" s="137">
        <v>0</v>
      </c>
      <c r="H1295" s="137">
        <f>+H1296</f>
        <v>69362</v>
      </c>
      <c r="I1295" s="151">
        <f>+I1296</f>
        <v>58215</v>
      </c>
      <c r="J1295" s="152">
        <f>+J1296</f>
        <v>75463</v>
      </c>
      <c r="K1295" s="137">
        <f>+K1296</f>
        <v>0</v>
      </c>
      <c r="L1295" s="137">
        <f>+L1296</f>
        <v>75463</v>
      </c>
      <c r="M1295" s="137">
        <f t="shared" ref="M1295:P1295" si="723">+M1296</f>
        <v>0</v>
      </c>
      <c r="N1295" s="137">
        <f t="shared" si="723"/>
        <v>75463</v>
      </c>
      <c r="O1295" s="137">
        <f t="shared" si="723"/>
        <v>62651</v>
      </c>
      <c r="P1295" s="137">
        <f t="shared" si="723"/>
        <v>86718</v>
      </c>
      <c r="Q1295" s="87">
        <f t="shared" si="687"/>
        <v>0.14914593906947776</v>
      </c>
      <c r="R1295" s="203"/>
    </row>
    <row r="1296" spans="1:26" ht="14.1" customHeight="1" x14ac:dyDescent="0.2">
      <c r="A1296" s="89"/>
      <c r="B1296" s="95" t="s">
        <v>101</v>
      </c>
      <c r="C1296" s="96" t="s">
        <v>102</v>
      </c>
      <c r="D1296" s="102">
        <v>69362</v>
      </c>
      <c r="E1296" s="71"/>
      <c r="F1296" s="72">
        <v>69362</v>
      </c>
      <c r="G1296" s="72"/>
      <c r="H1296" s="72">
        <v>69362</v>
      </c>
      <c r="I1296" s="71">
        <v>58215</v>
      </c>
      <c r="J1296" s="73">
        <v>75463</v>
      </c>
      <c r="K1296" s="74"/>
      <c r="L1296" s="140">
        <f>+K1296+J1296</f>
        <v>75463</v>
      </c>
      <c r="M1296" s="140"/>
      <c r="N1296" s="140">
        <f t="shared" ref="N1296" si="724">+M1296+L1296</f>
        <v>75463</v>
      </c>
      <c r="O1296" s="140">
        <v>62651</v>
      </c>
      <c r="P1296" s="67">
        <v>86718</v>
      </c>
      <c r="Q1296" s="87">
        <f t="shared" si="687"/>
        <v>0.14914593906947776</v>
      </c>
      <c r="R1296" s="204" t="s">
        <v>1010</v>
      </c>
      <c r="T1296" s="56" t="s">
        <v>1372</v>
      </c>
    </row>
    <row r="1297" spans="1:26" ht="14.1" customHeight="1" x14ac:dyDescent="0.2">
      <c r="A1297" s="146" t="s">
        <v>377</v>
      </c>
      <c r="B1297" s="147"/>
      <c r="C1297" s="148" t="s">
        <v>733</v>
      </c>
      <c r="D1297" s="149">
        <v>0</v>
      </c>
      <c r="E1297" s="150"/>
      <c r="F1297" s="137">
        <f>+E1297+D1297</f>
        <v>0</v>
      </c>
      <c r="G1297" s="137">
        <v>0</v>
      </c>
      <c r="H1297" s="137">
        <v>0</v>
      </c>
      <c r="I1297" s="151">
        <f>+I1298</f>
        <v>0</v>
      </c>
      <c r="J1297" s="152">
        <f>+J1298</f>
        <v>0</v>
      </c>
      <c r="K1297" s="137"/>
      <c r="L1297" s="137">
        <f>+L1298</f>
        <v>0</v>
      </c>
      <c r="M1297" s="137">
        <f t="shared" ref="M1297:P1297" si="725">+M1298</f>
        <v>30000</v>
      </c>
      <c r="N1297" s="137">
        <f t="shared" si="725"/>
        <v>30000</v>
      </c>
      <c r="O1297" s="137">
        <f t="shared" si="725"/>
        <v>0</v>
      </c>
      <c r="P1297" s="137">
        <f t="shared" si="725"/>
        <v>100000</v>
      </c>
      <c r="Q1297" s="87">
        <f t="shared" si="687"/>
        <v>2.3333333333333335</v>
      </c>
      <c r="R1297" s="203"/>
    </row>
    <row r="1298" spans="1:26" ht="14.1" customHeight="1" x14ac:dyDescent="0.2">
      <c r="A1298" s="89"/>
      <c r="B1298" s="95">
        <v>55</v>
      </c>
      <c r="C1298" s="96" t="s">
        <v>104</v>
      </c>
      <c r="D1298" s="102">
        <v>0</v>
      </c>
      <c r="E1298" s="71"/>
      <c r="F1298" s="72"/>
      <c r="G1298" s="72"/>
      <c r="H1298" s="72"/>
      <c r="I1298" s="71">
        <v>0</v>
      </c>
      <c r="J1298" s="73">
        <v>0</v>
      </c>
      <c r="K1298" s="74"/>
      <c r="L1298" s="141">
        <v>0</v>
      </c>
      <c r="M1298" s="223">
        <f>20000+10000</f>
        <v>30000</v>
      </c>
      <c r="N1298" s="141">
        <f>+L1298+M1298</f>
        <v>30000</v>
      </c>
      <c r="O1298" s="141">
        <v>0</v>
      </c>
      <c r="P1298" s="141">
        <v>100000</v>
      </c>
      <c r="Q1298" s="87">
        <f t="shared" si="687"/>
        <v>2.3333333333333335</v>
      </c>
      <c r="R1298" s="203" t="s">
        <v>1096</v>
      </c>
    </row>
    <row r="1299" spans="1:26" ht="14.1" customHeight="1" x14ac:dyDescent="0.2">
      <c r="A1299" s="164" t="s">
        <v>405</v>
      </c>
      <c r="B1299" s="147"/>
      <c r="C1299" s="148" t="s">
        <v>406</v>
      </c>
      <c r="D1299" s="149">
        <v>262183</v>
      </c>
      <c r="E1299" s="150"/>
      <c r="F1299" s="137">
        <f t="shared" ref="F1299:F1318" si="726">+E1299+D1299</f>
        <v>262183</v>
      </c>
      <c r="G1299" s="137">
        <f t="shared" ref="G1299:L1299" si="727">+G1300+G1301+G1302</f>
        <v>1600</v>
      </c>
      <c r="H1299" s="137">
        <f t="shared" si="727"/>
        <v>263783</v>
      </c>
      <c r="I1299" s="151">
        <f t="shared" si="727"/>
        <v>181688</v>
      </c>
      <c r="J1299" s="152">
        <f t="shared" si="727"/>
        <v>404757</v>
      </c>
      <c r="K1299" s="152">
        <f t="shared" si="727"/>
        <v>-19600</v>
      </c>
      <c r="L1299" s="152">
        <f t="shared" si="727"/>
        <v>271157</v>
      </c>
      <c r="M1299" s="152">
        <f t="shared" ref="M1299:N1299" si="728">+M1300+M1301+M1302</f>
        <v>0</v>
      </c>
      <c r="N1299" s="152">
        <f t="shared" si="728"/>
        <v>271157</v>
      </c>
      <c r="O1299" s="152">
        <f t="shared" ref="O1299:P1299" si="729">+O1300+O1301+O1302</f>
        <v>217911</v>
      </c>
      <c r="P1299" s="152">
        <f t="shared" si="729"/>
        <v>340087</v>
      </c>
      <c r="Q1299" s="87">
        <f t="shared" si="687"/>
        <v>0.25420697234443512</v>
      </c>
      <c r="R1299" s="204" t="s">
        <v>1131</v>
      </c>
    </row>
    <row r="1300" spans="1:26" ht="14.1" customHeight="1" x14ac:dyDescent="0.2">
      <c r="A1300" s="201" t="s">
        <v>147</v>
      </c>
      <c r="B1300" s="95">
        <v>4</v>
      </c>
      <c r="C1300" s="96" t="s">
        <v>322</v>
      </c>
      <c r="D1300" s="43">
        <v>0</v>
      </c>
      <c r="E1300" s="71"/>
      <c r="F1300" s="98">
        <f t="shared" si="726"/>
        <v>0</v>
      </c>
      <c r="G1300" s="98"/>
      <c r="H1300" s="98">
        <f>+G1300+F1300</f>
        <v>0</v>
      </c>
      <c r="I1300" s="97">
        <v>234</v>
      </c>
      <c r="J1300" s="99">
        <v>0</v>
      </c>
      <c r="K1300" s="98"/>
      <c r="L1300" s="139">
        <v>0</v>
      </c>
      <c r="M1300" s="139"/>
      <c r="N1300" s="139">
        <f>+L1300+M1300</f>
        <v>0</v>
      </c>
      <c r="O1300" s="139">
        <v>216</v>
      </c>
      <c r="P1300" s="139">
        <v>216</v>
      </c>
      <c r="Q1300" s="87" t="e">
        <f t="shared" si="687"/>
        <v>#DIV/0!</v>
      </c>
      <c r="R1300" s="206" t="s">
        <v>1104</v>
      </c>
    </row>
    <row r="1301" spans="1:26" ht="14.1" customHeight="1" x14ac:dyDescent="0.2">
      <c r="A1301" s="89"/>
      <c r="B1301" s="95" t="s">
        <v>101</v>
      </c>
      <c r="C1301" s="96" t="s">
        <v>102</v>
      </c>
      <c r="D1301" s="43">
        <v>213969</v>
      </c>
      <c r="E1301" s="71"/>
      <c r="F1301" s="98">
        <f t="shared" si="726"/>
        <v>213969</v>
      </c>
      <c r="G1301" s="98"/>
      <c r="H1301" s="98">
        <f t="shared" ref="H1301:H1317" si="730">+G1301+F1301</f>
        <v>213969</v>
      </c>
      <c r="I1301" s="97">
        <v>161987</v>
      </c>
      <c r="J1301" s="99">
        <v>246892</v>
      </c>
      <c r="K1301" s="98">
        <v>0</v>
      </c>
      <c r="L1301" s="182">
        <f>+K1301+J1301</f>
        <v>246892</v>
      </c>
      <c r="M1301" s="182"/>
      <c r="N1301" s="182">
        <f t="shared" ref="N1301" si="731">+M1301+L1301</f>
        <v>246892</v>
      </c>
      <c r="O1301" s="182">
        <v>198145</v>
      </c>
      <c r="P1301" s="78">
        <v>311371</v>
      </c>
      <c r="Q1301" s="87">
        <f t="shared" si="687"/>
        <v>0.26116277562658974</v>
      </c>
      <c r="R1301" s="204" t="s">
        <v>1115</v>
      </c>
      <c r="U1301" s="56" t="s">
        <v>1531</v>
      </c>
      <c r="W1301" s="108"/>
    </row>
    <row r="1302" spans="1:26" ht="14.1" customHeight="1" x14ac:dyDescent="0.2">
      <c r="A1302" s="89"/>
      <c r="B1302" s="95" t="s">
        <v>103</v>
      </c>
      <c r="C1302" s="96" t="s">
        <v>104</v>
      </c>
      <c r="D1302" s="43">
        <v>48214</v>
      </c>
      <c r="E1302" s="71"/>
      <c r="F1302" s="98">
        <f t="shared" si="726"/>
        <v>48214</v>
      </c>
      <c r="G1302" s="98">
        <v>1600</v>
      </c>
      <c r="H1302" s="98">
        <f t="shared" si="730"/>
        <v>49814</v>
      </c>
      <c r="I1302" s="97">
        <f>+I1303+I1304+I1305+I1306+I1311+I1312+I1313+I1314+I1315+I1316+I1317</f>
        <v>19467</v>
      </c>
      <c r="J1302" s="99">
        <f>SUM(J1303:J1317)</f>
        <v>157865</v>
      </c>
      <c r="K1302" s="99">
        <f t="shared" ref="K1302" si="732">SUM(K1303:K1317)</f>
        <v>-19600</v>
      </c>
      <c r="L1302" s="231">
        <f>+L1303+L1304+L1305+L1306+L1311+L1312+L1313+L1314+L1315+L1316+L1317</f>
        <v>24265</v>
      </c>
      <c r="M1302" s="231">
        <f t="shared" ref="M1302:N1302" si="733">+M1303+M1304+M1305+M1306+M1311+M1312+M1313+M1314+M1315+M1316+M1317</f>
        <v>0</v>
      </c>
      <c r="N1302" s="231">
        <f t="shared" si="733"/>
        <v>24265</v>
      </c>
      <c r="O1302" s="231">
        <f t="shared" ref="O1302" si="734">+O1303+O1304+O1305+O1306+O1311+O1312+O1313+O1314+O1315+O1316+O1317</f>
        <v>19550</v>
      </c>
      <c r="P1302" s="231">
        <f t="shared" ref="P1302" si="735">+P1303+P1304+P1305+P1306+P1311+P1312+P1313+P1314+P1315+P1316+P1317</f>
        <v>28500</v>
      </c>
      <c r="Q1302" s="87">
        <f t="shared" si="687"/>
        <v>0.17453121780342057</v>
      </c>
      <c r="R1302" s="56"/>
      <c r="U1302" s="56" t="s">
        <v>1116</v>
      </c>
    </row>
    <row r="1303" spans="1:26" ht="14.1" customHeight="1" x14ac:dyDescent="0.2">
      <c r="A1303" s="89"/>
      <c r="B1303" s="90" t="s">
        <v>105</v>
      </c>
      <c r="C1303" s="72" t="s">
        <v>115</v>
      </c>
      <c r="D1303" s="102">
        <v>1200</v>
      </c>
      <c r="E1303" s="71"/>
      <c r="F1303" s="74">
        <f t="shared" si="726"/>
        <v>1200</v>
      </c>
      <c r="G1303" s="74"/>
      <c r="H1303" s="74">
        <f t="shared" si="730"/>
        <v>1200</v>
      </c>
      <c r="I1303" s="71">
        <v>1255</v>
      </c>
      <c r="J1303" s="73">
        <v>2950</v>
      </c>
      <c r="K1303" s="74"/>
      <c r="L1303" s="74">
        <v>2950</v>
      </c>
      <c r="M1303" s="74"/>
      <c r="N1303" s="74">
        <f>+L1303+M1303</f>
        <v>2950</v>
      </c>
      <c r="O1303" s="74">
        <v>264</v>
      </c>
      <c r="P1303" s="67">
        <v>1000</v>
      </c>
      <c r="Q1303" s="87">
        <f t="shared" si="687"/>
        <v>-0.66101694915254239</v>
      </c>
      <c r="R1303" s="203"/>
      <c r="S1303" s="53"/>
    </row>
    <row r="1304" spans="1:26" ht="14.1" customHeight="1" x14ac:dyDescent="0.2">
      <c r="A1304" s="89"/>
      <c r="B1304" s="90">
        <v>5503</v>
      </c>
      <c r="C1304" s="72" t="s">
        <v>107</v>
      </c>
      <c r="D1304" s="102">
        <v>0</v>
      </c>
      <c r="E1304" s="71"/>
      <c r="F1304" s="74">
        <f t="shared" si="726"/>
        <v>0</v>
      </c>
      <c r="G1304" s="74"/>
      <c r="H1304" s="74">
        <f t="shared" si="730"/>
        <v>0</v>
      </c>
      <c r="I1304" s="71"/>
      <c r="J1304" s="73">
        <v>0</v>
      </c>
      <c r="K1304" s="74"/>
      <c r="L1304" s="74">
        <v>0</v>
      </c>
      <c r="M1304" s="74"/>
      <c r="N1304" s="74">
        <f t="shared" ref="N1304:N1305" si="736">+L1304+M1304</f>
        <v>0</v>
      </c>
      <c r="O1304" s="74">
        <v>121</v>
      </c>
      <c r="P1304" s="67">
        <v>200</v>
      </c>
      <c r="Q1304" s="87"/>
      <c r="R1304" s="203"/>
    </row>
    <row r="1305" spans="1:26" ht="14.1" customHeight="1" x14ac:dyDescent="0.2">
      <c r="A1305" s="89"/>
      <c r="B1305" s="90" t="s">
        <v>108</v>
      </c>
      <c r="C1305" s="72" t="s">
        <v>245</v>
      </c>
      <c r="D1305" s="102">
        <v>1300</v>
      </c>
      <c r="E1305" s="71"/>
      <c r="F1305" s="74">
        <f t="shared" si="726"/>
        <v>1300</v>
      </c>
      <c r="G1305" s="74"/>
      <c r="H1305" s="74">
        <f t="shared" si="730"/>
        <v>1300</v>
      </c>
      <c r="I1305" s="71"/>
      <c r="J1305" s="73">
        <v>1500</v>
      </c>
      <c r="K1305" s="74"/>
      <c r="L1305" s="74">
        <v>1500</v>
      </c>
      <c r="M1305" s="74"/>
      <c r="N1305" s="74">
        <f t="shared" si="736"/>
        <v>1500</v>
      </c>
      <c r="O1305" s="74">
        <v>75</v>
      </c>
      <c r="P1305" s="67">
        <f>+M1305+N1305</f>
        <v>1500</v>
      </c>
      <c r="Q1305" s="87">
        <f t="shared" si="687"/>
        <v>0</v>
      </c>
      <c r="R1305" s="203"/>
    </row>
    <row r="1306" spans="1:26" ht="14.1" customHeight="1" x14ac:dyDescent="0.2">
      <c r="A1306" s="89"/>
      <c r="B1306" s="90" t="s">
        <v>119</v>
      </c>
      <c r="C1306" s="72" t="s">
        <v>110</v>
      </c>
      <c r="D1306" s="102">
        <v>25635</v>
      </c>
      <c r="E1306" s="71"/>
      <c r="F1306" s="74">
        <f t="shared" si="726"/>
        <v>25635</v>
      </c>
      <c r="G1306" s="74"/>
      <c r="H1306" s="74">
        <f t="shared" si="730"/>
        <v>25635</v>
      </c>
      <c r="I1306" s="71">
        <v>2819</v>
      </c>
      <c r="J1306" s="73">
        <v>26135</v>
      </c>
      <c r="K1306" s="74">
        <v>-15000</v>
      </c>
      <c r="L1306" s="74">
        <f>SUM(L1307:L1310)</f>
        <v>11135</v>
      </c>
      <c r="M1306" s="74">
        <f t="shared" ref="M1306:O1306" si="737">SUM(M1307:M1310)</f>
        <v>0</v>
      </c>
      <c r="N1306" s="74">
        <f t="shared" si="737"/>
        <v>11135</v>
      </c>
      <c r="O1306" s="74">
        <f t="shared" si="737"/>
        <v>3519</v>
      </c>
      <c r="P1306" s="67">
        <f t="shared" ref="P1306" si="738">SUM(P1307:P1310)</f>
        <v>11400</v>
      </c>
      <c r="Q1306" s="87">
        <f t="shared" si="687"/>
        <v>2.3798832510103278E-2</v>
      </c>
      <c r="R1306" s="204" t="s">
        <v>1002</v>
      </c>
    </row>
    <row r="1307" spans="1:26" s="49" customFormat="1" ht="14.1" customHeight="1" x14ac:dyDescent="0.2">
      <c r="A1307" s="184"/>
      <c r="B1307" s="185"/>
      <c r="C1307" s="154" t="s">
        <v>223</v>
      </c>
      <c r="D1307" s="157">
        <v>60000</v>
      </c>
      <c r="E1307" s="158"/>
      <c r="F1307" s="153">
        <f t="shared" si="726"/>
        <v>60000</v>
      </c>
      <c r="G1307" s="153"/>
      <c r="H1307" s="153">
        <f t="shared" si="730"/>
        <v>60000</v>
      </c>
      <c r="I1307" s="158">
        <v>39687</v>
      </c>
      <c r="J1307" s="159">
        <v>60000</v>
      </c>
      <c r="K1307" s="153"/>
      <c r="L1307" s="153">
        <v>11135</v>
      </c>
      <c r="M1307" s="153"/>
      <c r="N1307" s="153">
        <f t="shared" ref="N1307:N1310" si="739">+L1307+M1307</f>
        <v>11135</v>
      </c>
      <c r="O1307" s="153">
        <v>2367</v>
      </c>
      <c r="P1307" s="155">
        <v>10000</v>
      </c>
      <c r="Q1307" s="87">
        <f t="shared" ref="Q1307:Q1375" si="740">(P1307-N1307)/N1307</f>
        <v>-0.101930848675348</v>
      </c>
      <c r="R1307" s="203"/>
      <c r="S1307" s="56"/>
      <c r="U1307" s="56"/>
      <c r="V1307" s="56"/>
      <c r="W1307" s="56"/>
      <c r="X1307" s="56"/>
      <c r="Y1307" s="56"/>
      <c r="Z1307" s="56"/>
    </row>
    <row r="1308" spans="1:26" s="49" customFormat="1" ht="14.1" customHeight="1" x14ac:dyDescent="0.2">
      <c r="A1308" s="184"/>
      <c r="B1308" s="185"/>
      <c r="C1308" s="154" t="s">
        <v>226</v>
      </c>
      <c r="D1308" s="157">
        <v>25000</v>
      </c>
      <c r="E1308" s="158"/>
      <c r="F1308" s="153">
        <f t="shared" si="726"/>
        <v>25000</v>
      </c>
      <c r="G1308" s="153"/>
      <c r="H1308" s="153">
        <f t="shared" si="730"/>
        <v>25000</v>
      </c>
      <c r="I1308" s="158">
        <v>17187</v>
      </c>
      <c r="J1308" s="159">
        <v>30000</v>
      </c>
      <c r="K1308" s="153"/>
      <c r="L1308" s="153">
        <v>0</v>
      </c>
      <c r="M1308" s="153"/>
      <c r="N1308" s="153">
        <f t="shared" si="739"/>
        <v>0</v>
      </c>
      <c r="O1308" s="153">
        <v>281</v>
      </c>
      <c r="P1308" s="155">
        <v>400</v>
      </c>
      <c r="Q1308" s="87">
        <v>1</v>
      </c>
      <c r="R1308" s="203"/>
      <c r="S1308" s="56"/>
      <c r="U1308" s="56"/>
      <c r="V1308" s="56"/>
      <c r="W1308" s="56"/>
      <c r="X1308" s="56"/>
      <c r="Y1308" s="56"/>
      <c r="Z1308" s="56"/>
    </row>
    <row r="1309" spans="1:26" s="49" customFormat="1" ht="14.1" customHeight="1" x14ac:dyDescent="0.2">
      <c r="A1309" s="184"/>
      <c r="B1309" s="185"/>
      <c r="C1309" s="154" t="s">
        <v>230</v>
      </c>
      <c r="D1309" s="157">
        <v>7000</v>
      </c>
      <c r="E1309" s="158"/>
      <c r="F1309" s="153">
        <f t="shared" si="726"/>
        <v>7000</v>
      </c>
      <c r="G1309" s="153"/>
      <c r="H1309" s="153">
        <f t="shared" si="730"/>
        <v>7000</v>
      </c>
      <c r="I1309" s="158">
        <v>4201</v>
      </c>
      <c r="J1309" s="159">
        <v>7000</v>
      </c>
      <c r="K1309" s="153"/>
      <c r="L1309" s="153">
        <v>0</v>
      </c>
      <c r="M1309" s="153"/>
      <c r="N1309" s="153">
        <f t="shared" si="739"/>
        <v>0</v>
      </c>
      <c r="O1309" s="153">
        <v>871</v>
      </c>
      <c r="P1309" s="155">
        <v>1000</v>
      </c>
      <c r="Q1309" s="87">
        <v>1</v>
      </c>
      <c r="R1309" s="203"/>
      <c r="S1309" s="56"/>
      <c r="U1309" s="56"/>
      <c r="V1309" s="56"/>
      <c r="W1309" s="56"/>
      <c r="X1309" s="56"/>
      <c r="Y1309" s="56"/>
      <c r="Z1309" s="56"/>
    </row>
    <row r="1310" spans="1:26" s="49" customFormat="1" ht="14.1" customHeight="1" x14ac:dyDescent="0.2">
      <c r="A1310" s="184"/>
      <c r="B1310" s="185"/>
      <c r="C1310" s="154" t="s">
        <v>652</v>
      </c>
      <c r="D1310" s="157">
        <v>17000</v>
      </c>
      <c r="E1310" s="158"/>
      <c r="F1310" s="153">
        <f t="shared" si="726"/>
        <v>17000</v>
      </c>
      <c r="G1310" s="153"/>
      <c r="H1310" s="153">
        <f t="shared" si="730"/>
        <v>17000</v>
      </c>
      <c r="I1310" s="158">
        <v>16790</v>
      </c>
      <c r="J1310" s="159">
        <v>17000</v>
      </c>
      <c r="K1310" s="153"/>
      <c r="L1310" s="153">
        <v>0</v>
      </c>
      <c r="M1310" s="153"/>
      <c r="N1310" s="153">
        <f t="shared" si="739"/>
        <v>0</v>
      </c>
      <c r="O1310" s="153"/>
      <c r="P1310" s="155">
        <f>+M1310+N1310</f>
        <v>0</v>
      </c>
      <c r="Q1310" s="87">
        <v>0</v>
      </c>
      <c r="R1310" s="203"/>
      <c r="S1310" s="56"/>
      <c r="U1310" s="56"/>
      <c r="V1310" s="56"/>
      <c r="W1310" s="56"/>
      <c r="X1310" s="56"/>
      <c r="Y1310" s="56"/>
      <c r="Z1310" s="56"/>
    </row>
    <row r="1311" spans="1:26" ht="14.1" customHeight="1" x14ac:dyDescent="0.2">
      <c r="A1311" s="89"/>
      <c r="B1311" s="90" t="s">
        <v>129</v>
      </c>
      <c r="C1311" s="72" t="s">
        <v>407</v>
      </c>
      <c r="D1311" s="102">
        <v>580</v>
      </c>
      <c r="E1311" s="71"/>
      <c r="F1311" s="74">
        <f t="shared" si="726"/>
        <v>580</v>
      </c>
      <c r="G1311" s="74"/>
      <c r="H1311" s="74">
        <f t="shared" si="730"/>
        <v>580</v>
      </c>
      <c r="I1311" s="71">
        <v>106</v>
      </c>
      <c r="J1311" s="73">
        <v>580</v>
      </c>
      <c r="K1311" s="74"/>
      <c r="L1311" s="74">
        <v>580</v>
      </c>
      <c r="M1311" s="74"/>
      <c r="N1311" s="74">
        <f>+L1311+M1311</f>
        <v>580</v>
      </c>
      <c r="O1311" s="74">
        <v>275</v>
      </c>
      <c r="P1311" s="67">
        <v>500</v>
      </c>
      <c r="Q1311" s="87">
        <f t="shared" si="740"/>
        <v>-0.13793103448275862</v>
      </c>
      <c r="R1311" s="203"/>
    </row>
    <row r="1312" spans="1:26" ht="14.1" customHeight="1" x14ac:dyDescent="0.2">
      <c r="A1312" s="89"/>
      <c r="B1312" s="90" t="s">
        <v>131</v>
      </c>
      <c r="C1312" s="72" t="s">
        <v>112</v>
      </c>
      <c r="D1312" s="102">
        <v>700</v>
      </c>
      <c r="E1312" s="71"/>
      <c r="F1312" s="74">
        <f t="shared" si="726"/>
        <v>700</v>
      </c>
      <c r="G1312" s="74"/>
      <c r="H1312" s="74">
        <f t="shared" si="730"/>
        <v>700</v>
      </c>
      <c r="I1312" s="71">
        <v>226</v>
      </c>
      <c r="J1312" s="73">
        <v>300</v>
      </c>
      <c r="K1312" s="74"/>
      <c r="L1312" s="74">
        <v>300</v>
      </c>
      <c r="M1312" s="74"/>
      <c r="N1312" s="74">
        <f t="shared" ref="N1312:N1317" si="741">+L1312+M1312</f>
        <v>300</v>
      </c>
      <c r="O1312" s="74">
        <v>234</v>
      </c>
      <c r="P1312" s="67">
        <v>300</v>
      </c>
      <c r="Q1312" s="87">
        <f t="shared" si="740"/>
        <v>0</v>
      </c>
      <c r="R1312" s="203"/>
    </row>
    <row r="1313" spans="1:19" ht="14.1" customHeight="1" x14ac:dyDescent="0.2">
      <c r="A1313" s="89"/>
      <c r="B1313" s="90" t="s">
        <v>132</v>
      </c>
      <c r="C1313" s="72" t="s">
        <v>133</v>
      </c>
      <c r="D1313" s="102">
        <v>12539</v>
      </c>
      <c r="E1313" s="71"/>
      <c r="F1313" s="74">
        <f t="shared" si="726"/>
        <v>12539</v>
      </c>
      <c r="G1313" s="74"/>
      <c r="H1313" s="74">
        <f t="shared" si="730"/>
        <v>12539</v>
      </c>
      <c r="I1313" s="71">
        <v>7353</v>
      </c>
      <c r="J1313" s="73">
        <v>5000</v>
      </c>
      <c r="K1313" s="74">
        <v>-4600</v>
      </c>
      <c r="L1313" s="74">
        <f>+K1313+J1313</f>
        <v>400</v>
      </c>
      <c r="M1313" s="74"/>
      <c r="N1313" s="74">
        <f t="shared" si="741"/>
        <v>400</v>
      </c>
      <c r="O1313" s="74">
        <v>4643</v>
      </c>
      <c r="P1313" s="67">
        <v>5000</v>
      </c>
      <c r="Q1313" s="87">
        <f t="shared" si="740"/>
        <v>11.5</v>
      </c>
      <c r="R1313" s="206" t="s">
        <v>1107</v>
      </c>
    </row>
    <row r="1314" spans="1:19" ht="14.1" customHeight="1" x14ac:dyDescent="0.2">
      <c r="A1314" s="89"/>
      <c r="B1314" s="90">
        <v>5522</v>
      </c>
      <c r="C1314" s="72" t="s">
        <v>137</v>
      </c>
      <c r="D1314" s="102">
        <v>60</v>
      </c>
      <c r="E1314" s="71"/>
      <c r="F1314" s="74">
        <f t="shared" si="726"/>
        <v>60</v>
      </c>
      <c r="G1314" s="74"/>
      <c r="H1314" s="74">
        <f t="shared" si="730"/>
        <v>60</v>
      </c>
      <c r="I1314" s="71">
        <v>197</v>
      </c>
      <c r="J1314" s="73">
        <v>500</v>
      </c>
      <c r="K1314" s="74"/>
      <c r="L1314" s="74">
        <v>500</v>
      </c>
      <c r="M1314" s="74"/>
      <c r="N1314" s="74">
        <f t="shared" si="741"/>
        <v>500</v>
      </c>
      <c r="O1314" s="74"/>
      <c r="P1314" s="67">
        <v>1000</v>
      </c>
      <c r="Q1314" s="87">
        <f t="shared" si="740"/>
        <v>1</v>
      </c>
      <c r="R1314" s="203" t="s">
        <v>1579</v>
      </c>
    </row>
    <row r="1315" spans="1:19" ht="14.1" customHeight="1" x14ac:dyDescent="0.2">
      <c r="A1315" s="89"/>
      <c r="B1315" s="90" t="s">
        <v>344</v>
      </c>
      <c r="C1315" s="72" t="s">
        <v>345</v>
      </c>
      <c r="D1315" s="102">
        <v>800</v>
      </c>
      <c r="E1315" s="71"/>
      <c r="F1315" s="74">
        <f t="shared" si="726"/>
        <v>800</v>
      </c>
      <c r="G1315" s="74"/>
      <c r="H1315" s="74">
        <f t="shared" si="730"/>
        <v>800</v>
      </c>
      <c r="I1315" s="71">
        <v>2881</v>
      </c>
      <c r="J1315" s="73">
        <v>1500</v>
      </c>
      <c r="K1315" s="74"/>
      <c r="L1315" s="74">
        <v>1500</v>
      </c>
      <c r="M1315" s="74"/>
      <c r="N1315" s="74">
        <f t="shared" si="741"/>
        <v>1500</v>
      </c>
      <c r="O1315" s="74">
        <v>4140</v>
      </c>
      <c r="P1315" s="67">
        <v>2000</v>
      </c>
      <c r="Q1315" s="87">
        <f t="shared" si="740"/>
        <v>0.33333333333333331</v>
      </c>
      <c r="R1315" s="203" t="s">
        <v>1105</v>
      </c>
    </row>
    <row r="1316" spans="1:19" ht="14.1" customHeight="1" x14ac:dyDescent="0.2">
      <c r="A1316" s="89"/>
      <c r="B1316" s="90" t="s">
        <v>138</v>
      </c>
      <c r="C1316" s="72" t="s">
        <v>139</v>
      </c>
      <c r="D1316" s="102">
        <v>5000</v>
      </c>
      <c r="E1316" s="71"/>
      <c r="F1316" s="74">
        <f t="shared" si="726"/>
        <v>5000</v>
      </c>
      <c r="G1316" s="74"/>
      <c r="H1316" s="74">
        <f t="shared" si="730"/>
        <v>5000</v>
      </c>
      <c r="I1316" s="71">
        <v>4124</v>
      </c>
      <c r="J1316" s="73">
        <v>5000</v>
      </c>
      <c r="K1316" s="74"/>
      <c r="L1316" s="74">
        <v>5000</v>
      </c>
      <c r="M1316" s="74"/>
      <c r="N1316" s="74">
        <f t="shared" si="741"/>
        <v>5000</v>
      </c>
      <c r="O1316" s="74">
        <v>5794</v>
      </c>
      <c r="P1316" s="67">
        <v>5000</v>
      </c>
      <c r="Q1316" s="87">
        <f t="shared" si="740"/>
        <v>0</v>
      </c>
      <c r="R1316" s="203" t="s">
        <v>1106</v>
      </c>
    </row>
    <row r="1317" spans="1:19" ht="14.1" customHeight="1" x14ac:dyDescent="0.2">
      <c r="A1317" s="89"/>
      <c r="B1317" s="90" t="s">
        <v>164</v>
      </c>
      <c r="C1317" s="72" t="s">
        <v>205</v>
      </c>
      <c r="D1317" s="102">
        <v>400</v>
      </c>
      <c r="E1317" s="71"/>
      <c r="F1317" s="74">
        <f t="shared" si="726"/>
        <v>400</v>
      </c>
      <c r="G1317" s="74">
        <v>1600</v>
      </c>
      <c r="H1317" s="74">
        <f t="shared" si="730"/>
        <v>2000</v>
      </c>
      <c r="I1317" s="71">
        <v>506</v>
      </c>
      <c r="J1317" s="73">
        <v>400</v>
      </c>
      <c r="K1317" s="74"/>
      <c r="L1317" s="74">
        <v>400</v>
      </c>
      <c r="M1317" s="74"/>
      <c r="N1317" s="74">
        <f t="shared" si="741"/>
        <v>400</v>
      </c>
      <c r="O1317" s="74">
        <v>485</v>
      </c>
      <c r="P1317" s="67">
        <v>600</v>
      </c>
      <c r="Q1317" s="87">
        <f t="shared" si="740"/>
        <v>0.5</v>
      </c>
      <c r="R1317" s="206"/>
    </row>
    <row r="1318" spans="1:19" ht="13.5" customHeight="1" x14ac:dyDescent="0.2">
      <c r="A1318" s="164" t="s">
        <v>408</v>
      </c>
      <c r="B1318" s="147"/>
      <c r="C1318" s="148" t="s">
        <v>409</v>
      </c>
      <c r="D1318" s="149">
        <v>75000</v>
      </c>
      <c r="E1318" s="150"/>
      <c r="F1318" s="137">
        <f t="shared" si="726"/>
        <v>75000</v>
      </c>
      <c r="G1318" s="137">
        <f>+G1319+G1320</f>
        <v>-20000</v>
      </c>
      <c r="H1318" s="137">
        <f>+H1320</f>
        <v>55000</v>
      </c>
      <c r="I1318" s="151">
        <f>+I1319+I1320</f>
        <v>38271</v>
      </c>
      <c r="J1318" s="152">
        <f>+J1319+J1320</f>
        <v>75000</v>
      </c>
      <c r="K1318" s="137">
        <v>-10000</v>
      </c>
      <c r="L1318" s="137">
        <f>+L1319+L1320</f>
        <v>65000</v>
      </c>
      <c r="M1318" s="137">
        <f t="shared" ref="M1318:N1318" si="742">+M1319+M1320</f>
        <v>0</v>
      </c>
      <c r="N1318" s="137">
        <f t="shared" si="742"/>
        <v>65000</v>
      </c>
      <c r="O1318" s="137">
        <f t="shared" ref="O1318:P1318" si="743">+O1319+O1320</f>
        <v>41435</v>
      </c>
      <c r="P1318" s="137">
        <f t="shared" si="743"/>
        <v>65000</v>
      </c>
      <c r="Q1318" s="87">
        <f t="shared" si="740"/>
        <v>0</v>
      </c>
      <c r="R1318" s="203"/>
    </row>
    <row r="1319" spans="1:19" ht="14.1" customHeight="1" x14ac:dyDescent="0.2">
      <c r="A1319" s="201"/>
      <c r="B1319" s="95">
        <v>4</v>
      </c>
      <c r="C1319" s="96" t="s">
        <v>328</v>
      </c>
      <c r="D1319" s="43"/>
      <c r="E1319" s="71"/>
      <c r="F1319" s="98"/>
      <c r="G1319" s="98"/>
      <c r="H1319" s="98"/>
      <c r="I1319" s="71"/>
      <c r="J1319" s="73">
        <v>0</v>
      </c>
      <c r="K1319" s="74"/>
      <c r="L1319" s="142">
        <v>65000</v>
      </c>
      <c r="M1319" s="142"/>
      <c r="N1319" s="142">
        <f>+L1319+M1319</f>
        <v>65000</v>
      </c>
      <c r="O1319" s="142">
        <v>41435</v>
      </c>
      <c r="P1319" s="142">
        <v>10000</v>
      </c>
      <c r="Q1319" s="87">
        <f t="shared" si="740"/>
        <v>-0.84615384615384615</v>
      </c>
      <c r="R1319" s="203" t="s">
        <v>1103</v>
      </c>
    </row>
    <row r="1320" spans="1:19" ht="14.1" customHeight="1" x14ac:dyDescent="0.2">
      <c r="A1320" s="201"/>
      <c r="B1320" s="90">
        <v>5524</v>
      </c>
      <c r="C1320" s="56" t="s">
        <v>240</v>
      </c>
      <c r="D1320" s="102">
        <v>75000</v>
      </c>
      <c r="E1320" s="71"/>
      <c r="F1320" s="72">
        <v>75000</v>
      </c>
      <c r="G1320" s="72">
        <v>-20000</v>
      </c>
      <c r="H1320" s="72">
        <f>+G1320+F1320</f>
        <v>55000</v>
      </c>
      <c r="I1320" s="71">
        <v>38271</v>
      </c>
      <c r="J1320" s="73">
        <v>75000</v>
      </c>
      <c r="K1320" s="74">
        <v>-10000</v>
      </c>
      <c r="L1320" s="141">
        <v>0</v>
      </c>
      <c r="M1320" s="141"/>
      <c r="N1320" s="141">
        <f t="shared" ref="N1320" si="744">+M1320+L1320</f>
        <v>0</v>
      </c>
      <c r="O1320" s="141">
        <v>0</v>
      </c>
      <c r="P1320" s="141">
        <v>55000</v>
      </c>
      <c r="Q1320" s="87">
        <v>1</v>
      </c>
      <c r="R1320" s="203" t="s">
        <v>1398</v>
      </c>
    </row>
    <row r="1321" spans="1:19" ht="14.1" customHeight="1" x14ac:dyDescent="0.2">
      <c r="A1321" s="164" t="s">
        <v>410</v>
      </c>
      <c r="B1321" s="147" t="s">
        <v>1419</v>
      </c>
      <c r="C1321" s="207" t="s">
        <v>411</v>
      </c>
      <c r="D1321" s="149">
        <v>213786</v>
      </c>
      <c r="E1321" s="150"/>
      <c r="F1321" s="137">
        <f t="shared" ref="F1321:F1354" si="745">+E1321+D1321</f>
        <v>213786</v>
      </c>
      <c r="G1321" s="137">
        <v>0</v>
      </c>
      <c r="H1321" s="137">
        <f>+H1322+H1323+H1324</f>
        <v>213786</v>
      </c>
      <c r="I1321" s="151">
        <f>+I1323+I1324</f>
        <v>131457</v>
      </c>
      <c r="J1321" s="152">
        <f>+J1323+J1324</f>
        <v>135000</v>
      </c>
      <c r="K1321" s="152">
        <f t="shared" ref="K1321" si="746">+K1323+K1324</f>
        <v>11452</v>
      </c>
      <c r="L1321" s="152">
        <f>+L1323+L1324+L1322</f>
        <v>146452</v>
      </c>
      <c r="M1321" s="152">
        <f t="shared" ref="M1321:N1321" si="747">+M1323+M1324+M1322</f>
        <v>0</v>
      </c>
      <c r="N1321" s="152">
        <f t="shared" si="747"/>
        <v>146452</v>
      </c>
      <c r="O1321" s="152">
        <f t="shared" ref="O1321:P1321" si="748">+O1323+O1324+O1322</f>
        <v>64974</v>
      </c>
      <c r="P1321" s="152">
        <f t="shared" si="748"/>
        <v>146452</v>
      </c>
      <c r="Q1321" s="87">
        <f t="shared" si="740"/>
        <v>0</v>
      </c>
      <c r="R1321" s="206" t="s">
        <v>1534</v>
      </c>
    </row>
    <row r="1322" spans="1:19" ht="14.1" customHeight="1" x14ac:dyDescent="0.2">
      <c r="A1322" s="201"/>
      <c r="B1322" s="95">
        <v>4</v>
      </c>
      <c r="C1322" s="53" t="s">
        <v>412</v>
      </c>
      <c r="D1322" s="43">
        <v>0</v>
      </c>
      <c r="E1322" s="71"/>
      <c r="F1322" s="98">
        <f t="shared" si="745"/>
        <v>0</v>
      </c>
      <c r="G1322" s="98"/>
      <c r="H1322" s="98">
        <f>+G1322+F1322</f>
        <v>0</v>
      </c>
      <c r="I1322" s="71"/>
      <c r="J1322" s="73">
        <v>0</v>
      </c>
      <c r="K1322" s="74"/>
      <c r="L1322" s="142">
        <v>0</v>
      </c>
      <c r="M1322" s="142">
        <v>0</v>
      </c>
      <c r="N1322" s="142">
        <v>0</v>
      </c>
      <c r="O1322" s="142">
        <v>0</v>
      </c>
      <c r="P1322" s="142">
        <v>0</v>
      </c>
      <c r="Q1322" s="87" t="e">
        <f t="shared" si="740"/>
        <v>#DIV/0!</v>
      </c>
      <c r="R1322" s="203"/>
      <c r="S1322" s="169" t="s">
        <v>1373</v>
      </c>
    </row>
    <row r="1323" spans="1:19" ht="14.1" customHeight="1" x14ac:dyDescent="0.2">
      <c r="A1323" s="201"/>
      <c r="B1323" s="95">
        <v>50</v>
      </c>
      <c r="C1323" s="239" t="s">
        <v>102</v>
      </c>
      <c r="D1323" s="43">
        <v>70000</v>
      </c>
      <c r="E1323" s="71"/>
      <c r="F1323" s="98">
        <f t="shared" si="745"/>
        <v>70000</v>
      </c>
      <c r="G1323" s="98"/>
      <c r="H1323" s="98">
        <f t="shared" ref="H1323:H1333" si="749">+G1323+F1323</f>
        <v>70000</v>
      </c>
      <c r="I1323" s="97">
        <v>46345</v>
      </c>
      <c r="J1323" s="99">
        <v>70000</v>
      </c>
      <c r="K1323" s="98"/>
      <c r="L1323" s="182">
        <v>70000</v>
      </c>
      <c r="M1323" s="182"/>
      <c r="N1323" s="182">
        <v>70000</v>
      </c>
      <c r="O1323" s="182">
        <v>13305</v>
      </c>
      <c r="P1323" s="78">
        <v>70000</v>
      </c>
      <c r="Q1323" s="87">
        <f t="shared" si="740"/>
        <v>0</v>
      </c>
      <c r="R1323" s="204"/>
    </row>
    <row r="1324" spans="1:19" ht="14.1" customHeight="1" x14ac:dyDescent="0.2">
      <c r="A1324" s="201"/>
      <c r="B1324" s="95">
        <v>55</v>
      </c>
      <c r="C1324" s="178" t="s">
        <v>104</v>
      </c>
      <c r="D1324" s="102">
        <v>143786</v>
      </c>
      <c r="E1324" s="71"/>
      <c r="F1324" s="98">
        <f t="shared" si="745"/>
        <v>143786</v>
      </c>
      <c r="G1324" s="98"/>
      <c r="H1324" s="98">
        <f t="shared" si="749"/>
        <v>143786</v>
      </c>
      <c r="I1324" s="97">
        <f>+I1325+I1326+I1327+I1328+I1329+I1330+I1331+I1332+I1333</f>
        <v>85112</v>
      </c>
      <c r="J1324" s="99">
        <f>SUM(J1325:J1333)</f>
        <v>65000</v>
      </c>
      <c r="K1324" s="99">
        <f>SUM(K1325:K1333)</f>
        <v>11452</v>
      </c>
      <c r="L1324" s="170">
        <f>+L1325+L1326+L1327+L1328+L1329+L1330+L1331+L1332+L1333</f>
        <v>76452</v>
      </c>
      <c r="M1324" s="170">
        <f t="shared" ref="M1324:N1324" si="750">+M1325+M1326+M1327+M1328+M1329+M1330+M1331+M1332+M1333</f>
        <v>0</v>
      </c>
      <c r="N1324" s="170">
        <f t="shared" si="750"/>
        <v>76452</v>
      </c>
      <c r="O1324" s="170">
        <f t="shared" ref="O1324" si="751">+O1325+O1326+O1327+O1328+O1329+O1330+O1331+O1332+O1333</f>
        <v>51669</v>
      </c>
      <c r="P1324" s="170">
        <f t="shared" ref="P1324" si="752">+P1325+P1326+P1327+P1328+P1329+P1330+P1331+P1332+P1333</f>
        <v>76452</v>
      </c>
      <c r="Q1324" s="87">
        <f t="shared" si="740"/>
        <v>0</v>
      </c>
      <c r="R1324" s="204"/>
    </row>
    <row r="1325" spans="1:19" ht="14.1" customHeight="1" x14ac:dyDescent="0.2">
      <c r="A1325" s="181"/>
      <c r="B1325" s="174">
        <v>5500</v>
      </c>
      <c r="C1325" s="103" t="s">
        <v>104</v>
      </c>
      <c r="D1325" s="102">
        <v>0</v>
      </c>
      <c r="E1325" s="71"/>
      <c r="F1325" s="74">
        <f t="shared" si="745"/>
        <v>0</v>
      </c>
      <c r="G1325" s="74"/>
      <c r="H1325" s="74">
        <f t="shared" si="749"/>
        <v>0</v>
      </c>
      <c r="I1325" s="71">
        <v>312</v>
      </c>
      <c r="J1325" s="73"/>
      <c r="K1325" s="74"/>
      <c r="L1325" s="74"/>
      <c r="M1325" s="74"/>
      <c r="N1325" s="74">
        <f>+L1325+M1325</f>
        <v>0</v>
      </c>
      <c r="O1325" s="74"/>
      <c r="P1325" s="67">
        <v>0</v>
      </c>
      <c r="Q1325" s="87" t="e">
        <f t="shared" si="740"/>
        <v>#DIV/0!</v>
      </c>
      <c r="R1325" s="204"/>
    </row>
    <row r="1326" spans="1:19" ht="14.1" customHeight="1" x14ac:dyDescent="0.2">
      <c r="A1326" s="181"/>
      <c r="B1326" s="174">
        <v>5504</v>
      </c>
      <c r="C1326" s="103" t="s">
        <v>245</v>
      </c>
      <c r="D1326" s="102">
        <v>0</v>
      </c>
      <c r="E1326" s="71"/>
      <c r="F1326" s="74">
        <f t="shared" si="745"/>
        <v>0</v>
      </c>
      <c r="G1326" s="74"/>
      <c r="H1326" s="74">
        <f t="shared" si="749"/>
        <v>0</v>
      </c>
      <c r="I1326" s="71"/>
      <c r="J1326" s="73"/>
      <c r="K1326" s="74"/>
      <c r="L1326" s="74"/>
      <c r="M1326" s="74"/>
      <c r="N1326" s="74">
        <f t="shared" ref="N1326:N1333" si="753">+L1326+M1326</f>
        <v>0</v>
      </c>
      <c r="O1326" s="74">
        <v>1254</v>
      </c>
      <c r="P1326" s="67">
        <v>1300</v>
      </c>
      <c r="Q1326" s="87" t="e">
        <f t="shared" si="740"/>
        <v>#DIV/0!</v>
      </c>
      <c r="R1326" s="204"/>
    </row>
    <row r="1327" spans="1:19" ht="14.1" customHeight="1" x14ac:dyDescent="0.2">
      <c r="A1327" s="181"/>
      <c r="B1327" s="174">
        <v>5511</v>
      </c>
      <c r="C1327" s="103" t="s">
        <v>110</v>
      </c>
      <c r="D1327" s="102">
        <v>0</v>
      </c>
      <c r="E1327" s="71"/>
      <c r="F1327" s="74">
        <f t="shared" si="745"/>
        <v>0</v>
      </c>
      <c r="G1327" s="74"/>
      <c r="H1327" s="74">
        <f t="shared" si="749"/>
        <v>0</v>
      </c>
      <c r="I1327" s="71"/>
      <c r="J1327" s="73"/>
      <c r="K1327" s="74"/>
      <c r="L1327" s="74"/>
      <c r="M1327" s="74"/>
      <c r="N1327" s="74">
        <f t="shared" si="753"/>
        <v>0</v>
      </c>
      <c r="O1327" s="74"/>
      <c r="P1327" s="67">
        <v>0</v>
      </c>
      <c r="Q1327" s="87" t="e">
        <f t="shared" si="740"/>
        <v>#DIV/0!</v>
      </c>
      <c r="R1327" s="204"/>
    </row>
    <row r="1328" spans="1:19" ht="14.1" customHeight="1" x14ac:dyDescent="0.2">
      <c r="A1328" s="181"/>
      <c r="B1328" s="174">
        <v>5513</v>
      </c>
      <c r="C1328" s="72" t="s">
        <v>407</v>
      </c>
      <c r="D1328" s="102">
        <v>0</v>
      </c>
      <c r="E1328" s="71"/>
      <c r="F1328" s="74">
        <f t="shared" si="745"/>
        <v>0</v>
      </c>
      <c r="G1328" s="74"/>
      <c r="H1328" s="74">
        <f t="shared" si="749"/>
        <v>0</v>
      </c>
      <c r="I1328" s="71"/>
      <c r="J1328" s="73"/>
      <c r="K1328" s="74"/>
      <c r="L1328" s="74"/>
      <c r="M1328" s="74"/>
      <c r="N1328" s="74">
        <f t="shared" si="753"/>
        <v>0</v>
      </c>
      <c r="O1328" s="74"/>
      <c r="P1328" s="67">
        <v>0</v>
      </c>
      <c r="Q1328" s="87" t="e">
        <f t="shared" si="740"/>
        <v>#DIV/0!</v>
      </c>
      <c r="R1328" s="204"/>
    </row>
    <row r="1329" spans="1:21" ht="14.1" customHeight="1" x14ac:dyDescent="0.2">
      <c r="A1329" s="181"/>
      <c r="B1329" s="174">
        <v>5514</v>
      </c>
      <c r="C1329" s="72" t="s">
        <v>112</v>
      </c>
      <c r="D1329" s="102">
        <v>25000</v>
      </c>
      <c r="E1329" s="71"/>
      <c r="F1329" s="74">
        <f t="shared" si="745"/>
        <v>25000</v>
      </c>
      <c r="G1329" s="74"/>
      <c r="H1329" s="74">
        <f t="shared" si="749"/>
        <v>25000</v>
      </c>
      <c r="I1329" s="71">
        <v>0</v>
      </c>
      <c r="J1329" s="73">
        <v>15000</v>
      </c>
      <c r="K1329" s="74"/>
      <c r="L1329" s="74">
        <v>15000</v>
      </c>
      <c r="M1329" s="74"/>
      <c r="N1329" s="74">
        <f t="shared" si="753"/>
        <v>15000</v>
      </c>
      <c r="O1329" s="74"/>
      <c r="P1329" s="67">
        <v>13000</v>
      </c>
      <c r="Q1329" s="87">
        <f t="shared" si="740"/>
        <v>-0.13333333333333333</v>
      </c>
      <c r="R1329" s="204"/>
    </row>
    <row r="1330" spans="1:21" ht="14.1" customHeight="1" x14ac:dyDescent="0.2">
      <c r="A1330" s="181"/>
      <c r="B1330" s="174">
        <v>5515</v>
      </c>
      <c r="C1330" s="72" t="s">
        <v>133</v>
      </c>
      <c r="D1330" s="102">
        <v>35919</v>
      </c>
      <c r="E1330" s="71"/>
      <c r="F1330" s="74">
        <f t="shared" si="745"/>
        <v>35919</v>
      </c>
      <c r="G1330" s="74"/>
      <c r="H1330" s="74">
        <f t="shared" si="749"/>
        <v>35919</v>
      </c>
      <c r="I1330" s="71">
        <v>34166</v>
      </c>
      <c r="J1330" s="73">
        <v>20000</v>
      </c>
      <c r="K1330" s="74">
        <v>11452</v>
      </c>
      <c r="L1330" s="74">
        <v>31452</v>
      </c>
      <c r="M1330" s="74"/>
      <c r="N1330" s="74">
        <f t="shared" si="753"/>
        <v>31452</v>
      </c>
      <c r="O1330" s="74">
        <v>8282</v>
      </c>
      <c r="P1330" s="67">
        <v>16452</v>
      </c>
      <c r="Q1330" s="87">
        <f t="shared" si="740"/>
        <v>-0.47691720717283481</v>
      </c>
      <c r="R1330" s="204"/>
    </row>
    <row r="1331" spans="1:21" ht="14.1" customHeight="1" x14ac:dyDescent="0.2">
      <c r="A1331" s="181"/>
      <c r="B1331" s="174">
        <v>5524</v>
      </c>
      <c r="C1331" s="72" t="s">
        <v>351</v>
      </c>
      <c r="D1331" s="102">
        <v>0</v>
      </c>
      <c r="E1331" s="71"/>
      <c r="F1331" s="74">
        <f t="shared" si="745"/>
        <v>0</v>
      </c>
      <c r="G1331" s="74"/>
      <c r="H1331" s="74">
        <f t="shared" si="749"/>
        <v>0</v>
      </c>
      <c r="I1331" s="71">
        <v>0</v>
      </c>
      <c r="J1331" s="73"/>
      <c r="K1331" s="74"/>
      <c r="L1331" s="74"/>
      <c r="M1331" s="74"/>
      <c r="N1331" s="74">
        <f t="shared" si="753"/>
        <v>0</v>
      </c>
      <c r="O1331" s="74">
        <v>279</v>
      </c>
      <c r="P1331" s="67">
        <v>700</v>
      </c>
      <c r="Q1331" s="87" t="e">
        <f t="shared" si="740"/>
        <v>#DIV/0!</v>
      </c>
      <c r="R1331" s="204"/>
    </row>
    <row r="1332" spans="1:21" ht="14.1" customHeight="1" x14ac:dyDescent="0.2">
      <c r="A1332" s="181"/>
      <c r="B1332" s="174">
        <v>5525</v>
      </c>
      <c r="C1332" s="72" t="s">
        <v>139</v>
      </c>
      <c r="D1332" s="102">
        <v>62867</v>
      </c>
      <c r="E1332" s="71"/>
      <c r="F1332" s="74">
        <f t="shared" si="745"/>
        <v>62867</v>
      </c>
      <c r="G1332" s="74"/>
      <c r="H1332" s="74">
        <f t="shared" si="749"/>
        <v>62867</v>
      </c>
      <c r="I1332" s="71">
        <v>28932</v>
      </c>
      <c r="J1332" s="73">
        <v>25000</v>
      </c>
      <c r="K1332" s="74"/>
      <c r="L1332" s="74">
        <v>25000</v>
      </c>
      <c r="M1332" s="74"/>
      <c r="N1332" s="74">
        <f t="shared" si="753"/>
        <v>25000</v>
      </c>
      <c r="O1332" s="74">
        <v>38535</v>
      </c>
      <c r="P1332" s="67">
        <v>40000</v>
      </c>
      <c r="Q1332" s="87">
        <f t="shared" si="740"/>
        <v>0.6</v>
      </c>
      <c r="R1332" s="206" t="s">
        <v>1118</v>
      </c>
    </row>
    <row r="1333" spans="1:21" ht="14.1" customHeight="1" x14ac:dyDescent="0.2">
      <c r="A1333" s="181"/>
      <c r="B1333" s="174">
        <v>5540</v>
      </c>
      <c r="C1333" s="72" t="s">
        <v>193</v>
      </c>
      <c r="D1333" s="102">
        <v>20000</v>
      </c>
      <c r="E1333" s="71"/>
      <c r="F1333" s="74">
        <f t="shared" si="745"/>
        <v>20000</v>
      </c>
      <c r="G1333" s="74"/>
      <c r="H1333" s="74">
        <f t="shared" si="749"/>
        <v>20000</v>
      </c>
      <c r="I1333" s="71">
        <v>21702</v>
      </c>
      <c r="J1333" s="73">
        <v>5000</v>
      </c>
      <c r="K1333" s="74"/>
      <c r="L1333" s="74">
        <v>5000</v>
      </c>
      <c r="M1333" s="74"/>
      <c r="N1333" s="74">
        <f t="shared" si="753"/>
        <v>5000</v>
      </c>
      <c r="O1333" s="74">
        <v>3319</v>
      </c>
      <c r="P1333" s="67">
        <v>5000</v>
      </c>
      <c r="Q1333" s="87">
        <f t="shared" si="740"/>
        <v>0</v>
      </c>
      <c r="R1333" s="203"/>
    </row>
    <row r="1334" spans="1:21" ht="14.1" customHeight="1" x14ac:dyDescent="0.2">
      <c r="A1334" s="164" t="s">
        <v>413</v>
      </c>
      <c r="B1334" s="147"/>
      <c r="C1334" s="148" t="s">
        <v>414</v>
      </c>
      <c r="D1334" s="149">
        <v>67939</v>
      </c>
      <c r="E1334" s="151">
        <f>+E1336+E1337</f>
        <v>23600</v>
      </c>
      <c r="F1334" s="137">
        <f t="shared" si="745"/>
        <v>91539</v>
      </c>
      <c r="G1334" s="137">
        <v>0</v>
      </c>
      <c r="H1334" s="137">
        <f>+H1336+H1337</f>
        <v>91539</v>
      </c>
      <c r="I1334" s="151">
        <f>+I1336+I1337</f>
        <v>53356</v>
      </c>
      <c r="J1334" s="152">
        <f>+J1336+J1337</f>
        <v>139540</v>
      </c>
      <c r="K1334" s="152">
        <f t="shared" ref="K1334:L1334" si="754">+K1336+K1337</f>
        <v>-2600</v>
      </c>
      <c r="L1334" s="152">
        <f t="shared" si="754"/>
        <v>136940</v>
      </c>
      <c r="M1334" s="152">
        <f t="shared" ref="M1334:N1334" si="755">+M1336+M1337</f>
        <v>0</v>
      </c>
      <c r="N1334" s="152">
        <f t="shared" si="755"/>
        <v>136940</v>
      </c>
      <c r="O1334" s="152">
        <f>+O1336+O1337+O1335</f>
        <v>106137</v>
      </c>
      <c r="P1334" s="152">
        <f>+P1336+P1337+P1335</f>
        <v>162613</v>
      </c>
      <c r="Q1334" s="87">
        <f t="shared" si="740"/>
        <v>0.18747626697823863</v>
      </c>
      <c r="R1334" s="204" t="s">
        <v>1130</v>
      </c>
    </row>
    <row r="1335" spans="1:21" ht="14.1" customHeight="1" x14ac:dyDescent="0.2">
      <c r="A1335" s="201"/>
      <c r="B1335" s="95">
        <v>4</v>
      </c>
      <c r="C1335" s="96" t="s">
        <v>322</v>
      </c>
      <c r="D1335" s="43">
        <v>0</v>
      </c>
      <c r="E1335" s="71"/>
      <c r="F1335" s="98">
        <f t="shared" si="745"/>
        <v>0</v>
      </c>
      <c r="G1335" s="98"/>
      <c r="H1335" s="98">
        <f>+G1335+F1335</f>
        <v>0</v>
      </c>
      <c r="I1335" s="97">
        <v>234</v>
      </c>
      <c r="J1335" s="99">
        <v>0</v>
      </c>
      <c r="K1335" s="98"/>
      <c r="L1335" s="139">
        <v>0</v>
      </c>
      <c r="M1335" s="139"/>
      <c r="N1335" s="139">
        <f>+L1335+M1335</f>
        <v>0</v>
      </c>
      <c r="O1335" s="139">
        <v>140</v>
      </c>
      <c r="P1335" s="139">
        <v>140</v>
      </c>
      <c r="Q1335" s="87"/>
      <c r="R1335" s="206" t="s">
        <v>1104</v>
      </c>
    </row>
    <row r="1336" spans="1:21" ht="14.1" customHeight="1" x14ac:dyDescent="0.2">
      <c r="A1336" s="240"/>
      <c r="B1336" s="241" t="s">
        <v>101</v>
      </c>
      <c r="C1336" s="242" t="s">
        <v>102</v>
      </c>
      <c r="D1336" s="43">
        <v>50109</v>
      </c>
      <c r="E1336" s="97">
        <v>23000</v>
      </c>
      <c r="F1336" s="98">
        <f t="shared" si="745"/>
        <v>73109</v>
      </c>
      <c r="G1336" s="98"/>
      <c r="H1336" s="98">
        <f t="shared" ref="H1336:H1347" si="756">+G1336+F1336</f>
        <v>73109</v>
      </c>
      <c r="I1336" s="97">
        <v>41354</v>
      </c>
      <c r="J1336" s="99">
        <v>120750</v>
      </c>
      <c r="K1336" s="98"/>
      <c r="L1336" s="182">
        <v>120750</v>
      </c>
      <c r="M1336" s="182"/>
      <c r="N1336" s="182">
        <f>+L1336+M1336</f>
        <v>120750</v>
      </c>
      <c r="O1336" s="182">
        <v>94822</v>
      </c>
      <c r="P1336" s="78">
        <v>144668</v>
      </c>
      <c r="Q1336" s="87">
        <f t="shared" si="740"/>
        <v>0.19807867494824016</v>
      </c>
      <c r="R1336" s="204" t="s">
        <v>1108</v>
      </c>
      <c r="U1336" s="56" t="s">
        <v>1535</v>
      </c>
    </row>
    <row r="1337" spans="1:21" ht="14.1" customHeight="1" x14ac:dyDescent="0.2">
      <c r="A1337" s="181"/>
      <c r="B1337" s="177" t="s">
        <v>103</v>
      </c>
      <c r="C1337" s="178" t="s">
        <v>104</v>
      </c>
      <c r="D1337" s="43">
        <v>17830</v>
      </c>
      <c r="E1337" s="97">
        <f>SUM(E1338:E1347)</f>
        <v>600</v>
      </c>
      <c r="F1337" s="98">
        <f t="shared" si="745"/>
        <v>18430</v>
      </c>
      <c r="G1337" s="98"/>
      <c r="H1337" s="98">
        <f t="shared" si="756"/>
        <v>18430</v>
      </c>
      <c r="I1337" s="97">
        <f>SUM(I1338:I1347)</f>
        <v>12002</v>
      </c>
      <c r="J1337" s="99">
        <f>SUM(J1338:J1347)</f>
        <v>18790</v>
      </c>
      <c r="K1337" s="99">
        <f>SUM(K1338:K1347)</f>
        <v>-2600</v>
      </c>
      <c r="L1337" s="170">
        <f>SUM(L1338:L1347)</f>
        <v>16190</v>
      </c>
      <c r="M1337" s="170">
        <f t="shared" ref="M1337:N1337" si="757">SUM(M1338:M1347)</f>
        <v>0</v>
      </c>
      <c r="N1337" s="170">
        <f t="shared" si="757"/>
        <v>16190</v>
      </c>
      <c r="O1337" s="170">
        <f t="shared" ref="O1337" si="758">SUM(O1338:O1347)</f>
        <v>11175</v>
      </c>
      <c r="P1337" s="170">
        <f>SUM(P1338:P1347)</f>
        <v>17805</v>
      </c>
      <c r="Q1337" s="87">
        <f t="shared" si="740"/>
        <v>9.9752933909820873E-2</v>
      </c>
      <c r="R1337" s="56"/>
      <c r="U1337" s="108"/>
    </row>
    <row r="1338" spans="1:21" ht="14.1" customHeight="1" x14ac:dyDescent="0.2">
      <c r="A1338" s="181"/>
      <c r="B1338" s="174" t="s">
        <v>105</v>
      </c>
      <c r="C1338" s="103" t="s">
        <v>115</v>
      </c>
      <c r="D1338" s="102">
        <v>850</v>
      </c>
      <c r="E1338" s="71"/>
      <c r="F1338" s="74">
        <f t="shared" si="745"/>
        <v>850</v>
      </c>
      <c r="G1338" s="74"/>
      <c r="H1338" s="74">
        <f t="shared" si="756"/>
        <v>850</v>
      </c>
      <c r="I1338" s="71">
        <v>657</v>
      </c>
      <c r="J1338" s="73">
        <v>980</v>
      </c>
      <c r="K1338" s="74"/>
      <c r="L1338" s="74">
        <v>980</v>
      </c>
      <c r="M1338" s="74"/>
      <c r="N1338" s="74">
        <f>+L1338+M1338</f>
        <v>980</v>
      </c>
      <c r="O1338" s="74">
        <v>1077</v>
      </c>
      <c r="P1338" s="67">
        <v>1100</v>
      </c>
      <c r="Q1338" s="87">
        <f t="shared" si="740"/>
        <v>0.12244897959183673</v>
      </c>
      <c r="R1338" s="203"/>
    </row>
    <row r="1339" spans="1:21" ht="14.1" customHeight="1" x14ac:dyDescent="0.2">
      <c r="A1339" s="181"/>
      <c r="B1339" s="174" t="s">
        <v>108</v>
      </c>
      <c r="C1339" s="103" t="s">
        <v>245</v>
      </c>
      <c r="D1339" s="102">
        <v>1500</v>
      </c>
      <c r="E1339" s="71"/>
      <c r="F1339" s="74">
        <f t="shared" si="745"/>
        <v>1500</v>
      </c>
      <c r="G1339" s="74"/>
      <c r="H1339" s="74">
        <f t="shared" si="756"/>
        <v>1500</v>
      </c>
      <c r="I1339" s="71"/>
      <c r="J1339" s="73">
        <v>1500</v>
      </c>
      <c r="K1339" s="74"/>
      <c r="L1339" s="74">
        <v>1500</v>
      </c>
      <c r="M1339" s="74"/>
      <c r="N1339" s="74">
        <f t="shared" ref="N1339:N1347" si="759">+L1339+M1339</f>
        <v>1500</v>
      </c>
      <c r="O1339" s="74">
        <v>225</v>
      </c>
      <c r="P1339" s="67">
        <v>2000</v>
      </c>
      <c r="Q1339" s="87">
        <f t="shared" si="740"/>
        <v>0.33333333333333331</v>
      </c>
      <c r="R1339" s="203"/>
    </row>
    <row r="1340" spans="1:21" ht="14.1" customHeight="1" x14ac:dyDescent="0.2">
      <c r="A1340" s="181"/>
      <c r="B1340" s="174" t="s">
        <v>119</v>
      </c>
      <c r="C1340" s="103" t="s">
        <v>110</v>
      </c>
      <c r="D1340" s="102">
        <v>0</v>
      </c>
      <c r="E1340" s="71"/>
      <c r="F1340" s="74">
        <f t="shared" si="745"/>
        <v>0</v>
      </c>
      <c r="G1340" s="74"/>
      <c r="H1340" s="74">
        <f t="shared" si="756"/>
        <v>0</v>
      </c>
      <c r="I1340" s="71">
        <v>82</v>
      </c>
      <c r="J1340" s="73"/>
      <c r="K1340" s="74"/>
      <c r="L1340" s="74"/>
      <c r="M1340" s="74"/>
      <c r="N1340" s="74">
        <f t="shared" si="759"/>
        <v>0</v>
      </c>
      <c r="O1340" s="74">
        <v>5</v>
      </c>
      <c r="P1340" s="67">
        <v>50</v>
      </c>
      <c r="Q1340" s="87"/>
      <c r="R1340" s="203" t="s">
        <v>1109</v>
      </c>
    </row>
    <row r="1341" spans="1:21" ht="14.1" customHeight="1" x14ac:dyDescent="0.2">
      <c r="A1341" s="181"/>
      <c r="B1341" s="174" t="s">
        <v>129</v>
      </c>
      <c r="C1341" s="103" t="s">
        <v>407</v>
      </c>
      <c r="D1341" s="102">
        <v>6850</v>
      </c>
      <c r="E1341" s="71"/>
      <c r="F1341" s="74">
        <f t="shared" si="745"/>
        <v>6850</v>
      </c>
      <c r="G1341" s="74"/>
      <c r="H1341" s="74">
        <f t="shared" si="756"/>
        <v>6850</v>
      </c>
      <c r="I1341" s="71">
        <v>531</v>
      </c>
      <c r="J1341" s="73">
        <v>6650</v>
      </c>
      <c r="K1341" s="74"/>
      <c r="L1341" s="74">
        <v>6650</v>
      </c>
      <c r="M1341" s="74"/>
      <c r="N1341" s="74">
        <f t="shared" si="759"/>
        <v>6650</v>
      </c>
      <c r="O1341" s="74">
        <v>3037</v>
      </c>
      <c r="P1341" s="67">
        <v>6700</v>
      </c>
      <c r="Q1341" s="87">
        <f t="shared" si="740"/>
        <v>7.5187969924812026E-3</v>
      </c>
      <c r="R1341" s="203" t="s">
        <v>1110</v>
      </c>
    </row>
    <row r="1342" spans="1:21" ht="14.1" customHeight="1" x14ac:dyDescent="0.2">
      <c r="A1342" s="181"/>
      <c r="B1342" s="174">
        <v>5514</v>
      </c>
      <c r="C1342" s="103" t="s">
        <v>112</v>
      </c>
      <c r="D1342" s="102">
        <v>0</v>
      </c>
      <c r="E1342" s="71"/>
      <c r="F1342" s="74">
        <f t="shared" si="745"/>
        <v>0</v>
      </c>
      <c r="G1342" s="74"/>
      <c r="H1342" s="74">
        <f t="shared" si="756"/>
        <v>0</v>
      </c>
      <c r="I1342" s="71">
        <v>138</v>
      </c>
      <c r="J1342" s="73">
        <v>155</v>
      </c>
      <c r="K1342" s="74"/>
      <c r="L1342" s="74">
        <v>155</v>
      </c>
      <c r="M1342" s="74"/>
      <c r="N1342" s="74">
        <f t="shared" si="759"/>
        <v>155</v>
      </c>
      <c r="O1342" s="74">
        <v>100</v>
      </c>
      <c r="P1342" s="67">
        <f>+M1342+N1342</f>
        <v>155</v>
      </c>
      <c r="Q1342" s="87">
        <f t="shared" si="740"/>
        <v>0</v>
      </c>
      <c r="R1342" s="203"/>
    </row>
    <row r="1343" spans="1:21" ht="14.1" customHeight="1" x14ac:dyDescent="0.2">
      <c r="A1343" s="181"/>
      <c r="B1343" s="174" t="s">
        <v>132</v>
      </c>
      <c r="C1343" s="103" t="s">
        <v>133</v>
      </c>
      <c r="D1343" s="102">
        <v>5500</v>
      </c>
      <c r="E1343" s="71">
        <v>600</v>
      </c>
      <c r="F1343" s="74">
        <f t="shared" si="745"/>
        <v>6100</v>
      </c>
      <c r="G1343" s="74"/>
      <c r="H1343" s="74">
        <f t="shared" si="756"/>
        <v>6100</v>
      </c>
      <c r="I1343" s="71">
        <v>7159</v>
      </c>
      <c r="J1343" s="73">
        <v>5075</v>
      </c>
      <c r="K1343" s="74">
        <v>-2600</v>
      </c>
      <c r="L1343" s="74">
        <f>+K1343+J1343</f>
        <v>2475</v>
      </c>
      <c r="M1343" s="74"/>
      <c r="N1343" s="74">
        <f t="shared" si="759"/>
        <v>2475</v>
      </c>
      <c r="O1343" s="74">
        <v>2828</v>
      </c>
      <c r="P1343" s="67">
        <v>2000</v>
      </c>
      <c r="Q1343" s="87">
        <f t="shared" si="740"/>
        <v>-0.19191919191919191</v>
      </c>
      <c r="R1343" s="203" t="s">
        <v>1610</v>
      </c>
    </row>
    <row r="1344" spans="1:21" ht="14.1" customHeight="1" x14ac:dyDescent="0.2">
      <c r="A1344" s="181"/>
      <c r="B1344" s="174">
        <v>5522</v>
      </c>
      <c r="C1344" s="72" t="s">
        <v>137</v>
      </c>
      <c r="D1344" s="102">
        <v>30</v>
      </c>
      <c r="E1344" s="71"/>
      <c r="F1344" s="74">
        <f t="shared" si="745"/>
        <v>30</v>
      </c>
      <c r="G1344" s="74"/>
      <c r="H1344" s="74">
        <f t="shared" si="756"/>
        <v>30</v>
      </c>
      <c r="I1344" s="71">
        <v>78</v>
      </c>
      <c r="J1344" s="73">
        <v>30</v>
      </c>
      <c r="K1344" s="74"/>
      <c r="L1344" s="74">
        <v>30</v>
      </c>
      <c r="M1344" s="74"/>
      <c r="N1344" s="74">
        <f t="shared" si="759"/>
        <v>30</v>
      </c>
      <c r="O1344" s="74">
        <v>16</v>
      </c>
      <c r="P1344" s="67">
        <v>1000</v>
      </c>
      <c r="Q1344" s="87">
        <f t="shared" si="740"/>
        <v>32.333333333333336</v>
      </c>
      <c r="R1344" s="203" t="s">
        <v>1111</v>
      </c>
    </row>
    <row r="1345" spans="1:20" ht="14.1" customHeight="1" x14ac:dyDescent="0.2">
      <c r="A1345" s="181"/>
      <c r="B1345" s="174" t="s">
        <v>344</v>
      </c>
      <c r="C1345" s="103" t="s">
        <v>345</v>
      </c>
      <c r="D1345" s="102">
        <v>200</v>
      </c>
      <c r="E1345" s="71"/>
      <c r="F1345" s="74">
        <f t="shared" si="745"/>
        <v>200</v>
      </c>
      <c r="G1345" s="74"/>
      <c r="H1345" s="74">
        <f t="shared" si="756"/>
        <v>200</v>
      </c>
      <c r="I1345" s="71">
        <v>2898</v>
      </c>
      <c r="J1345" s="73">
        <v>1200</v>
      </c>
      <c r="K1345" s="74"/>
      <c r="L1345" s="74">
        <v>1200</v>
      </c>
      <c r="M1345" s="74"/>
      <c r="N1345" s="74">
        <f t="shared" si="759"/>
        <v>1200</v>
      </c>
      <c r="O1345" s="74">
        <v>127</v>
      </c>
      <c r="P1345" s="67">
        <v>800</v>
      </c>
      <c r="Q1345" s="87">
        <f t="shared" si="740"/>
        <v>-0.33333333333333331</v>
      </c>
      <c r="R1345" s="203" t="s">
        <v>1112</v>
      </c>
    </row>
    <row r="1346" spans="1:20" ht="14.1" customHeight="1" x14ac:dyDescent="0.2">
      <c r="A1346" s="181"/>
      <c r="B1346" s="174" t="s">
        <v>138</v>
      </c>
      <c r="C1346" s="103" t="s">
        <v>139</v>
      </c>
      <c r="D1346" s="102">
        <v>2500</v>
      </c>
      <c r="E1346" s="71"/>
      <c r="F1346" s="74">
        <f t="shared" si="745"/>
        <v>2500</v>
      </c>
      <c r="G1346" s="74"/>
      <c r="H1346" s="74">
        <f t="shared" si="756"/>
        <v>2500</v>
      </c>
      <c r="I1346" s="71">
        <v>323</v>
      </c>
      <c r="J1346" s="73">
        <v>2500</v>
      </c>
      <c r="K1346" s="74"/>
      <c r="L1346" s="74">
        <v>2500</v>
      </c>
      <c r="M1346" s="74"/>
      <c r="N1346" s="74">
        <f t="shared" si="759"/>
        <v>2500</v>
      </c>
      <c r="O1346" s="74">
        <v>3542</v>
      </c>
      <c r="P1346" s="67">
        <v>3000</v>
      </c>
      <c r="Q1346" s="87">
        <f t="shared" si="740"/>
        <v>0.2</v>
      </c>
      <c r="R1346" s="203" t="s">
        <v>1113</v>
      </c>
    </row>
    <row r="1347" spans="1:20" ht="14.1" customHeight="1" x14ac:dyDescent="0.2">
      <c r="A1347" s="181"/>
      <c r="B1347" s="174" t="s">
        <v>164</v>
      </c>
      <c r="C1347" s="72" t="s">
        <v>193</v>
      </c>
      <c r="D1347" s="102">
        <v>400</v>
      </c>
      <c r="E1347" s="71"/>
      <c r="F1347" s="74">
        <f t="shared" si="745"/>
        <v>400</v>
      </c>
      <c r="G1347" s="74"/>
      <c r="H1347" s="74">
        <f t="shared" si="756"/>
        <v>400</v>
      </c>
      <c r="I1347" s="71">
        <v>136</v>
      </c>
      <c r="J1347" s="73">
        <v>700</v>
      </c>
      <c r="K1347" s="74"/>
      <c r="L1347" s="74">
        <v>700</v>
      </c>
      <c r="M1347" s="74"/>
      <c r="N1347" s="74">
        <f t="shared" si="759"/>
        <v>700</v>
      </c>
      <c r="O1347" s="74">
        <v>218</v>
      </c>
      <c r="P1347" s="67">
        <v>1000</v>
      </c>
      <c r="Q1347" s="87">
        <f t="shared" si="740"/>
        <v>0.42857142857142855</v>
      </c>
      <c r="R1347" s="203" t="s">
        <v>1114</v>
      </c>
    </row>
    <row r="1348" spans="1:20" ht="14.1" customHeight="1" x14ac:dyDescent="0.2">
      <c r="A1348" s="146" t="s">
        <v>415</v>
      </c>
      <c r="B1348" s="147"/>
      <c r="C1348" s="148" t="s">
        <v>416</v>
      </c>
      <c r="D1348" s="149">
        <v>60000</v>
      </c>
      <c r="E1348" s="150"/>
      <c r="F1348" s="137">
        <f t="shared" si="745"/>
        <v>60000</v>
      </c>
      <c r="G1348" s="137">
        <v>0</v>
      </c>
      <c r="H1348" s="137">
        <v>60000</v>
      </c>
      <c r="I1348" s="151">
        <v>49637</v>
      </c>
      <c r="J1348" s="152">
        <v>60000</v>
      </c>
      <c r="K1348" s="137">
        <v>22000</v>
      </c>
      <c r="L1348" s="137">
        <f>+L1349</f>
        <v>82000</v>
      </c>
      <c r="M1348" s="137">
        <f t="shared" ref="M1348:P1348" si="760">+M1349</f>
        <v>0</v>
      </c>
      <c r="N1348" s="137">
        <f t="shared" si="760"/>
        <v>82000</v>
      </c>
      <c r="O1348" s="137">
        <f t="shared" si="760"/>
        <v>75890</v>
      </c>
      <c r="P1348" s="137">
        <f t="shared" si="760"/>
        <v>100000</v>
      </c>
      <c r="Q1348" s="87">
        <f t="shared" si="740"/>
        <v>0.21951219512195122</v>
      </c>
      <c r="R1348" s="203"/>
    </row>
    <row r="1349" spans="1:20" ht="14.1" customHeight="1" x14ac:dyDescent="0.2">
      <c r="A1349" s="56"/>
      <c r="B1349" s="95">
        <v>55</v>
      </c>
      <c r="C1349" s="96" t="s">
        <v>423</v>
      </c>
      <c r="D1349" s="56"/>
      <c r="E1349" s="56"/>
      <c r="I1349" s="56"/>
      <c r="J1349" s="56"/>
      <c r="K1349" s="56"/>
      <c r="L1349" s="243">
        <v>82000</v>
      </c>
      <c r="M1349" s="243"/>
      <c r="N1349" s="244">
        <f>+L1349+M1349</f>
        <v>82000</v>
      </c>
      <c r="O1349" s="244">
        <v>75890</v>
      </c>
      <c r="P1349" s="244">
        <v>100000</v>
      </c>
      <c r="Q1349" s="87">
        <f t="shared" si="740"/>
        <v>0.21951219512195122</v>
      </c>
      <c r="R1349" s="49" t="s">
        <v>1119</v>
      </c>
      <c r="S1349" s="108"/>
    </row>
    <row r="1350" spans="1:20" ht="14.1" customHeight="1" x14ac:dyDescent="0.2">
      <c r="A1350" s="164" t="s">
        <v>417</v>
      </c>
      <c r="B1350" s="147"/>
      <c r="C1350" s="148" t="s">
        <v>418</v>
      </c>
      <c r="D1350" s="149">
        <v>175000</v>
      </c>
      <c r="E1350" s="150"/>
      <c r="F1350" s="137">
        <f t="shared" si="745"/>
        <v>175000</v>
      </c>
      <c r="G1350" s="137">
        <v>0</v>
      </c>
      <c r="H1350" s="137">
        <f>+H1351+H1352</f>
        <v>175000</v>
      </c>
      <c r="I1350" s="151">
        <f>+I1351+I1352</f>
        <v>143725</v>
      </c>
      <c r="J1350" s="152">
        <f>+J1351+J1352</f>
        <v>186542</v>
      </c>
      <c r="K1350" s="152">
        <f t="shared" ref="K1350:L1350" si="761">+K1351+K1352</f>
        <v>-1200</v>
      </c>
      <c r="L1350" s="152">
        <f t="shared" si="761"/>
        <v>185342</v>
      </c>
      <c r="M1350" s="152">
        <f t="shared" ref="M1350:N1350" si="762">+M1351+M1352</f>
        <v>4550</v>
      </c>
      <c r="N1350" s="152">
        <f t="shared" si="762"/>
        <v>189892</v>
      </c>
      <c r="O1350" s="152">
        <f t="shared" ref="O1350:P1350" si="763">+O1351+O1352</f>
        <v>180386</v>
      </c>
      <c r="P1350" s="152">
        <f t="shared" si="763"/>
        <v>247087</v>
      </c>
      <c r="Q1350" s="87">
        <f t="shared" si="740"/>
        <v>0.30119752280243506</v>
      </c>
      <c r="R1350" s="203"/>
    </row>
    <row r="1351" spans="1:20" ht="14.1" customHeight="1" x14ac:dyDescent="0.2">
      <c r="A1351" s="94"/>
      <c r="B1351" s="95">
        <v>50</v>
      </c>
      <c r="C1351" s="96" t="s">
        <v>102</v>
      </c>
      <c r="D1351" s="43">
        <v>65000</v>
      </c>
      <c r="E1351" s="71"/>
      <c r="F1351" s="98">
        <f t="shared" si="745"/>
        <v>65000</v>
      </c>
      <c r="G1351" s="98"/>
      <c r="H1351" s="98">
        <f>+G1351+F1351</f>
        <v>65000</v>
      </c>
      <c r="I1351" s="97">
        <v>54013</v>
      </c>
      <c r="J1351" s="99">
        <v>72942</v>
      </c>
      <c r="K1351" s="98">
        <v>0</v>
      </c>
      <c r="L1351" s="182">
        <f>+K1351+J1351</f>
        <v>72942</v>
      </c>
      <c r="M1351" s="109">
        <v>4550</v>
      </c>
      <c r="N1351" s="182">
        <f t="shared" ref="N1351" si="764">+M1351+L1351</f>
        <v>77492</v>
      </c>
      <c r="O1351" s="182">
        <v>62946</v>
      </c>
      <c r="P1351" s="78">
        <v>99387</v>
      </c>
      <c r="Q1351" s="87">
        <f t="shared" si="740"/>
        <v>0.28254529499819336</v>
      </c>
      <c r="R1351" s="204" t="s">
        <v>1011</v>
      </c>
      <c r="T1351" s="49" t="s">
        <v>1528</v>
      </c>
    </row>
    <row r="1352" spans="1:20" ht="14.1" customHeight="1" x14ac:dyDescent="0.2">
      <c r="A1352" s="94"/>
      <c r="B1352" s="95">
        <v>55</v>
      </c>
      <c r="C1352" s="96" t="s">
        <v>419</v>
      </c>
      <c r="D1352" s="43">
        <v>110000</v>
      </c>
      <c r="E1352" s="71"/>
      <c r="F1352" s="98">
        <f t="shared" si="745"/>
        <v>110000</v>
      </c>
      <c r="G1352" s="98"/>
      <c r="H1352" s="98">
        <f t="shared" ref="H1352:H1357" si="765">+G1352+F1352</f>
        <v>110000</v>
      </c>
      <c r="I1352" s="97">
        <f>+I1353+I1354+I1356+I1357</f>
        <v>89712</v>
      </c>
      <c r="J1352" s="99">
        <f>SUM(J1353:J1357)</f>
        <v>113600</v>
      </c>
      <c r="K1352" s="99">
        <f>SUM(K1353:K1357)</f>
        <v>-1200</v>
      </c>
      <c r="L1352" s="170">
        <f>SUM(L1353:L1357)</f>
        <v>112400</v>
      </c>
      <c r="M1352" s="170">
        <f t="shared" ref="M1352:N1352" si="766">SUM(M1353:M1357)</f>
        <v>0</v>
      </c>
      <c r="N1352" s="170">
        <f t="shared" si="766"/>
        <v>112400</v>
      </c>
      <c r="O1352" s="170">
        <f t="shared" ref="O1352" si="767">SUM(O1353:O1357)</f>
        <v>117440</v>
      </c>
      <c r="P1352" s="170">
        <f>SUM(P1353:P1359)</f>
        <v>147700</v>
      </c>
      <c r="Q1352" s="87">
        <f t="shared" si="740"/>
        <v>0.31405693950177938</v>
      </c>
      <c r="R1352" s="206"/>
    </row>
    <row r="1353" spans="1:20" ht="14.1" customHeight="1" x14ac:dyDescent="0.2">
      <c r="A1353" s="94"/>
      <c r="B1353" s="90">
        <v>5504</v>
      </c>
      <c r="C1353" s="103" t="s">
        <v>245</v>
      </c>
      <c r="D1353" s="102">
        <v>0</v>
      </c>
      <c r="E1353" s="71"/>
      <c r="F1353" s="74">
        <f t="shared" si="745"/>
        <v>0</v>
      </c>
      <c r="G1353" s="74"/>
      <c r="H1353" s="74">
        <f t="shared" si="765"/>
        <v>0</v>
      </c>
      <c r="I1353" s="71">
        <v>151</v>
      </c>
      <c r="J1353" s="73"/>
      <c r="K1353" s="74"/>
      <c r="L1353" s="74"/>
      <c r="M1353" s="74"/>
      <c r="N1353" s="74">
        <f>+L1353+M1353</f>
        <v>0</v>
      </c>
      <c r="O1353" s="74"/>
      <c r="P1353" s="67">
        <f>+M1353+N1353</f>
        <v>0</v>
      </c>
      <c r="Q1353" s="87" t="e">
        <f t="shared" si="740"/>
        <v>#DIV/0!</v>
      </c>
      <c r="R1353" s="206"/>
    </row>
    <row r="1354" spans="1:20" ht="14.1" customHeight="1" x14ac:dyDescent="0.2">
      <c r="A1354" s="94"/>
      <c r="B1354" s="90">
        <v>5511</v>
      </c>
      <c r="C1354" s="72" t="s">
        <v>420</v>
      </c>
      <c r="D1354" s="102">
        <v>0</v>
      </c>
      <c r="E1354" s="71"/>
      <c r="F1354" s="74">
        <f t="shared" si="745"/>
        <v>0</v>
      </c>
      <c r="G1354" s="74"/>
      <c r="H1354" s="74">
        <f t="shared" si="765"/>
        <v>0</v>
      </c>
      <c r="I1354" s="71">
        <v>3002</v>
      </c>
      <c r="J1354" s="73">
        <v>1600</v>
      </c>
      <c r="K1354" s="74"/>
      <c r="L1354" s="74">
        <v>1600</v>
      </c>
      <c r="M1354" s="74"/>
      <c r="N1354" s="74">
        <f t="shared" ref="N1354:N1357" si="768">+L1354+M1354</f>
        <v>1600</v>
      </c>
      <c r="O1354" s="74">
        <v>5546</v>
      </c>
      <c r="P1354" s="67">
        <v>5000</v>
      </c>
      <c r="Q1354" s="87">
        <f t="shared" si="740"/>
        <v>2.125</v>
      </c>
      <c r="R1354" s="206"/>
    </row>
    <row r="1355" spans="1:20" ht="14.1" customHeight="1" x14ac:dyDescent="0.2">
      <c r="A1355" s="94"/>
      <c r="B1355" s="90">
        <v>5514</v>
      </c>
      <c r="C1355" s="103" t="s">
        <v>112</v>
      </c>
      <c r="D1355" s="102">
        <v>0</v>
      </c>
      <c r="E1355" s="71"/>
      <c r="F1355" s="74">
        <f t="shared" ref="F1355:F1390" si="769">+E1355+D1355</f>
        <v>0</v>
      </c>
      <c r="G1355" s="74"/>
      <c r="H1355" s="74">
        <f t="shared" si="765"/>
        <v>0</v>
      </c>
      <c r="I1355" s="71"/>
      <c r="J1355" s="73">
        <v>0</v>
      </c>
      <c r="K1355" s="74"/>
      <c r="L1355" s="74">
        <v>0</v>
      </c>
      <c r="M1355" s="74"/>
      <c r="N1355" s="74">
        <f t="shared" si="768"/>
        <v>0</v>
      </c>
      <c r="O1355" s="74"/>
      <c r="P1355" s="67">
        <f>+M1355+N1355</f>
        <v>0</v>
      </c>
      <c r="Q1355" s="87" t="e">
        <f t="shared" si="740"/>
        <v>#DIV/0!</v>
      </c>
      <c r="R1355" s="206"/>
    </row>
    <row r="1356" spans="1:20" ht="14.1" customHeight="1" x14ac:dyDescent="0.2">
      <c r="A1356" s="94"/>
      <c r="B1356" s="90">
        <v>5515</v>
      </c>
      <c r="C1356" s="72" t="s">
        <v>133</v>
      </c>
      <c r="D1356" s="102">
        <v>0</v>
      </c>
      <c r="E1356" s="71"/>
      <c r="F1356" s="74">
        <f t="shared" si="769"/>
        <v>0</v>
      </c>
      <c r="G1356" s="74"/>
      <c r="H1356" s="74">
        <f t="shared" si="765"/>
        <v>0</v>
      </c>
      <c r="I1356" s="71">
        <v>3434</v>
      </c>
      <c r="J1356" s="73">
        <v>2000</v>
      </c>
      <c r="K1356" s="74">
        <v>-1200</v>
      </c>
      <c r="L1356" s="74">
        <f>+K1356+J1356</f>
        <v>800</v>
      </c>
      <c r="M1356" s="74"/>
      <c r="N1356" s="74">
        <f t="shared" si="768"/>
        <v>800</v>
      </c>
      <c r="O1356" s="74">
        <v>4966</v>
      </c>
      <c r="P1356" s="67">
        <v>1500</v>
      </c>
      <c r="Q1356" s="87">
        <f t="shared" si="740"/>
        <v>0.875</v>
      </c>
      <c r="R1356" s="206"/>
    </row>
    <row r="1357" spans="1:20" ht="14.1" customHeight="1" x14ac:dyDescent="0.2">
      <c r="A1357" s="94"/>
      <c r="B1357" s="90">
        <v>5521</v>
      </c>
      <c r="C1357" s="72" t="s">
        <v>263</v>
      </c>
      <c r="D1357" s="102">
        <v>110000</v>
      </c>
      <c r="E1357" s="71"/>
      <c r="F1357" s="74">
        <f t="shared" si="769"/>
        <v>110000</v>
      </c>
      <c r="G1357" s="74"/>
      <c r="H1357" s="74">
        <f t="shared" si="765"/>
        <v>110000</v>
      </c>
      <c r="I1357" s="71">
        <v>83125</v>
      </c>
      <c r="J1357" s="73">
        <v>110000</v>
      </c>
      <c r="K1357" s="74"/>
      <c r="L1357" s="74">
        <v>110000</v>
      </c>
      <c r="M1357" s="74"/>
      <c r="N1357" s="74">
        <f t="shared" si="768"/>
        <v>110000</v>
      </c>
      <c r="O1357" s="74">
        <v>106928</v>
      </c>
      <c r="P1357" s="67">
        <v>140000</v>
      </c>
      <c r="Q1357" s="87">
        <f t="shared" si="740"/>
        <v>0.27272727272727271</v>
      </c>
      <c r="R1357" s="206"/>
      <c r="S1357" s="56" t="s">
        <v>1374</v>
      </c>
    </row>
    <row r="1358" spans="1:20" ht="14.1" customHeight="1" x14ac:dyDescent="0.2">
      <c r="A1358" s="94"/>
      <c r="B1358" s="90">
        <v>5522</v>
      </c>
      <c r="C1358" s="72" t="s">
        <v>137</v>
      </c>
      <c r="D1358" s="102"/>
      <c r="E1358" s="71"/>
      <c r="F1358" s="74"/>
      <c r="G1358" s="74"/>
      <c r="H1358" s="74"/>
      <c r="I1358" s="71"/>
      <c r="J1358" s="73"/>
      <c r="K1358" s="73"/>
      <c r="L1358" s="73"/>
      <c r="M1358" s="73"/>
      <c r="N1358" s="73"/>
      <c r="O1358" s="73"/>
      <c r="P1358" s="67">
        <v>200</v>
      </c>
      <c r="Q1358" s="87"/>
      <c r="R1358" s="206"/>
    </row>
    <row r="1359" spans="1:20" ht="14.1" customHeight="1" x14ac:dyDescent="0.2">
      <c r="A1359" s="94"/>
      <c r="B1359" s="90">
        <v>5532</v>
      </c>
      <c r="C1359" s="72" t="s">
        <v>981</v>
      </c>
      <c r="D1359" s="102"/>
      <c r="E1359" s="71"/>
      <c r="F1359" s="74"/>
      <c r="G1359" s="74"/>
      <c r="H1359" s="74"/>
      <c r="I1359" s="71"/>
      <c r="J1359" s="73"/>
      <c r="K1359" s="73"/>
      <c r="L1359" s="73"/>
      <c r="M1359" s="73"/>
      <c r="N1359" s="73"/>
      <c r="O1359" s="73"/>
      <c r="P1359" s="67">
        <v>1000</v>
      </c>
      <c r="Q1359" s="87"/>
      <c r="R1359" s="203" t="s">
        <v>1012</v>
      </c>
    </row>
    <row r="1360" spans="1:20" ht="14.1" customHeight="1" x14ac:dyDescent="0.2">
      <c r="A1360" s="164" t="s">
        <v>421</v>
      </c>
      <c r="B1360" s="147"/>
      <c r="C1360" s="148" t="s">
        <v>422</v>
      </c>
      <c r="D1360" s="149">
        <v>216980</v>
      </c>
      <c r="E1360" s="150"/>
      <c r="F1360" s="137">
        <f t="shared" si="769"/>
        <v>216980</v>
      </c>
      <c r="G1360" s="137">
        <f>+G1361</f>
        <v>4000</v>
      </c>
      <c r="H1360" s="137">
        <f>+H1361+H1362</f>
        <v>220980</v>
      </c>
      <c r="I1360" s="151">
        <f>+I1361+I1362</f>
        <v>158825</v>
      </c>
      <c r="J1360" s="152">
        <f>+J1361+J1362</f>
        <v>234300</v>
      </c>
      <c r="K1360" s="152">
        <f t="shared" ref="K1360:L1360" si="770">+K1361+K1362</f>
        <v>-11300</v>
      </c>
      <c r="L1360" s="152">
        <f t="shared" si="770"/>
        <v>223000</v>
      </c>
      <c r="M1360" s="152">
        <f t="shared" ref="M1360:N1360" si="771">+M1361+M1362</f>
        <v>0</v>
      </c>
      <c r="N1360" s="152">
        <f t="shared" si="771"/>
        <v>223000</v>
      </c>
      <c r="O1360" s="152">
        <f t="shared" ref="O1360:P1360" si="772">+O1361+O1362</f>
        <v>191986</v>
      </c>
      <c r="P1360" s="152">
        <f t="shared" si="772"/>
        <v>263962</v>
      </c>
      <c r="Q1360" s="87">
        <f t="shared" si="740"/>
        <v>0.18368609865470853</v>
      </c>
      <c r="R1360" s="203"/>
    </row>
    <row r="1361" spans="1:19" ht="14.1" customHeight="1" x14ac:dyDescent="0.2">
      <c r="A1361" s="94"/>
      <c r="B1361" s="95">
        <v>50</v>
      </c>
      <c r="C1361" s="96" t="s">
        <v>102</v>
      </c>
      <c r="D1361" s="43">
        <v>89980</v>
      </c>
      <c r="E1361" s="71"/>
      <c r="F1361" s="98">
        <f t="shared" si="769"/>
        <v>89980</v>
      </c>
      <c r="G1361" s="98">
        <v>4000</v>
      </c>
      <c r="H1361" s="98">
        <f>+G1361+F1361</f>
        <v>93980</v>
      </c>
      <c r="I1361" s="97">
        <v>74223</v>
      </c>
      <c r="J1361" s="99">
        <v>97300</v>
      </c>
      <c r="K1361" s="98">
        <v>0</v>
      </c>
      <c r="L1361" s="182">
        <f>+K1361+J1361</f>
        <v>97300</v>
      </c>
      <c r="M1361" s="182"/>
      <c r="N1361" s="182">
        <f t="shared" ref="N1361" si="773">+M1361+L1361</f>
        <v>97300</v>
      </c>
      <c r="O1361" s="182">
        <v>78923</v>
      </c>
      <c r="P1361" s="78">
        <v>111862</v>
      </c>
      <c r="Q1361" s="87">
        <f t="shared" si="740"/>
        <v>0.14966084275436795</v>
      </c>
      <c r="R1361" s="204" t="s">
        <v>1097</v>
      </c>
    </row>
    <row r="1362" spans="1:19" ht="14.1" customHeight="1" x14ac:dyDescent="0.2">
      <c r="A1362" s="94"/>
      <c r="B1362" s="95">
        <v>55</v>
      </c>
      <c r="C1362" s="96" t="s">
        <v>423</v>
      </c>
      <c r="D1362" s="43">
        <v>127000</v>
      </c>
      <c r="E1362" s="71"/>
      <c r="F1362" s="98">
        <f t="shared" si="769"/>
        <v>127000</v>
      </c>
      <c r="G1362" s="98"/>
      <c r="H1362" s="98">
        <f t="shared" ref="H1362:H1372" si="774">+G1362+F1362</f>
        <v>127000</v>
      </c>
      <c r="I1362" s="97">
        <f>+I1363+I1370+I1371+I1372</f>
        <v>84602</v>
      </c>
      <c r="J1362" s="99">
        <f>+J1363+J1370+J1371+J1372</f>
        <v>137000</v>
      </c>
      <c r="K1362" s="99">
        <f t="shared" ref="K1362" si="775">+K1363+K1370+K1371+K1372</f>
        <v>-11300</v>
      </c>
      <c r="L1362" s="231">
        <f>+L1363+L1370+L1371+L1372</f>
        <v>125700</v>
      </c>
      <c r="M1362" s="231">
        <f t="shared" ref="M1362:N1362" si="776">+M1363+M1370+M1371+M1372</f>
        <v>0</v>
      </c>
      <c r="N1362" s="231">
        <f t="shared" si="776"/>
        <v>125700</v>
      </c>
      <c r="O1362" s="231">
        <f t="shared" ref="O1362" si="777">+O1363+O1370+O1371+O1372</f>
        <v>113063</v>
      </c>
      <c r="P1362" s="231">
        <f>+P1363+P1370+P1371+P1372+P1373</f>
        <v>152100</v>
      </c>
      <c r="Q1362" s="87">
        <f t="shared" si="740"/>
        <v>0.21002386634844869</v>
      </c>
      <c r="R1362" s="206"/>
    </row>
    <row r="1363" spans="1:19" ht="14.1" customHeight="1" x14ac:dyDescent="0.2">
      <c r="A1363" s="94"/>
      <c r="B1363" s="90">
        <v>5511</v>
      </c>
      <c r="C1363" s="72" t="s">
        <v>420</v>
      </c>
      <c r="D1363" s="102">
        <v>7000</v>
      </c>
      <c r="E1363" s="71"/>
      <c r="F1363" s="74">
        <f t="shared" si="769"/>
        <v>7000</v>
      </c>
      <c r="G1363" s="74"/>
      <c r="H1363" s="74">
        <f t="shared" si="774"/>
        <v>7000</v>
      </c>
      <c r="I1363" s="71">
        <f>SUM(I1364:I1367)</f>
        <v>2608</v>
      </c>
      <c r="J1363" s="73">
        <f>+J1364+J1365+J1366+J1367+J1369</f>
        <v>7000</v>
      </c>
      <c r="K1363" s="73">
        <f>+K1364+K1365+K1366+K1367+K1369</f>
        <v>-1300</v>
      </c>
      <c r="L1363" s="73">
        <f>SUM(L1364:L1369)</f>
        <v>5700</v>
      </c>
      <c r="M1363" s="73">
        <f t="shared" ref="M1363:O1363" si="778">SUM(M1364:M1369)</f>
        <v>0</v>
      </c>
      <c r="N1363" s="73">
        <f t="shared" si="778"/>
        <v>5700</v>
      </c>
      <c r="O1363" s="73">
        <f t="shared" si="778"/>
        <v>5202</v>
      </c>
      <c r="P1363" s="127">
        <f t="shared" ref="P1363" si="779">SUM(P1364:P1369)</f>
        <v>6200</v>
      </c>
      <c r="Q1363" s="87">
        <f t="shared" si="740"/>
        <v>8.771929824561403E-2</v>
      </c>
      <c r="R1363" s="206"/>
    </row>
    <row r="1364" spans="1:19" ht="14.1" customHeight="1" x14ac:dyDescent="0.2">
      <c r="A1364" s="94"/>
      <c r="B1364" s="90"/>
      <c r="C1364" s="154" t="s">
        <v>424</v>
      </c>
      <c r="D1364" s="157">
        <v>0</v>
      </c>
      <c r="E1364" s="158"/>
      <c r="F1364" s="153">
        <f t="shared" si="769"/>
        <v>0</v>
      </c>
      <c r="G1364" s="153"/>
      <c r="H1364" s="153">
        <f t="shared" si="774"/>
        <v>0</v>
      </c>
      <c r="I1364" s="158"/>
      <c r="J1364" s="159"/>
      <c r="K1364" s="153"/>
      <c r="L1364" s="153"/>
      <c r="M1364" s="153"/>
      <c r="N1364" s="153">
        <f t="shared" ref="N1364:N1369" si="780">+M1364+L1364</f>
        <v>0</v>
      </c>
      <c r="O1364" s="153"/>
      <c r="P1364" s="155">
        <f>+N1364+M1364</f>
        <v>0</v>
      </c>
      <c r="Q1364" s="87"/>
      <c r="R1364" s="203"/>
    </row>
    <row r="1365" spans="1:19" ht="14.1" customHeight="1" x14ac:dyDescent="0.2">
      <c r="A1365" s="94"/>
      <c r="B1365" s="90"/>
      <c r="C1365" s="154" t="s">
        <v>121</v>
      </c>
      <c r="D1365" s="157">
        <v>0</v>
      </c>
      <c r="E1365" s="158"/>
      <c r="F1365" s="153">
        <f t="shared" si="769"/>
        <v>0</v>
      </c>
      <c r="G1365" s="153"/>
      <c r="H1365" s="153">
        <f t="shared" si="774"/>
        <v>0</v>
      </c>
      <c r="I1365" s="158"/>
      <c r="J1365" s="159"/>
      <c r="K1365" s="153"/>
      <c r="L1365" s="153"/>
      <c r="M1365" s="153"/>
      <c r="N1365" s="153">
        <f t="shared" si="780"/>
        <v>0</v>
      </c>
      <c r="O1365" s="153"/>
      <c r="P1365" s="155">
        <f>+N1365+M1365</f>
        <v>0</v>
      </c>
      <c r="Q1365" s="87"/>
      <c r="R1365" s="203"/>
    </row>
    <row r="1366" spans="1:19" ht="14.1" customHeight="1" x14ac:dyDescent="0.2">
      <c r="A1366" s="94"/>
      <c r="B1366" s="90"/>
      <c r="C1366" s="154" t="s">
        <v>301</v>
      </c>
      <c r="D1366" s="157">
        <v>4000</v>
      </c>
      <c r="E1366" s="158"/>
      <c r="F1366" s="153">
        <f t="shared" si="769"/>
        <v>4000</v>
      </c>
      <c r="G1366" s="153"/>
      <c r="H1366" s="153">
        <f t="shared" si="774"/>
        <v>4000</v>
      </c>
      <c r="I1366" s="158">
        <v>1952</v>
      </c>
      <c r="J1366" s="159">
        <v>4000</v>
      </c>
      <c r="K1366" s="153">
        <v>-1300</v>
      </c>
      <c r="L1366" s="153">
        <f>+K1366+J1366</f>
        <v>2700</v>
      </c>
      <c r="M1366" s="153"/>
      <c r="N1366" s="153">
        <f t="shared" si="780"/>
        <v>2700</v>
      </c>
      <c r="O1366" s="153">
        <v>1056</v>
      </c>
      <c r="P1366" s="155">
        <v>2000</v>
      </c>
      <c r="Q1366" s="87">
        <f t="shared" si="740"/>
        <v>-0.25925925925925924</v>
      </c>
      <c r="R1366" s="203"/>
    </row>
    <row r="1367" spans="1:19" ht="14.1" customHeight="1" x14ac:dyDescent="0.2">
      <c r="A1367" s="94"/>
      <c r="B1367" s="90"/>
      <c r="C1367" s="154" t="s">
        <v>425</v>
      </c>
      <c r="D1367" s="157">
        <v>3000</v>
      </c>
      <c r="E1367" s="158"/>
      <c r="F1367" s="153">
        <f t="shared" si="769"/>
        <v>3000</v>
      </c>
      <c r="G1367" s="153"/>
      <c r="H1367" s="153">
        <f t="shared" si="774"/>
        <v>3000</v>
      </c>
      <c r="I1367" s="158">
        <v>656</v>
      </c>
      <c r="J1367" s="159">
        <v>3000</v>
      </c>
      <c r="K1367" s="153"/>
      <c r="L1367" s="153">
        <v>3000</v>
      </c>
      <c r="M1367" s="153"/>
      <c r="N1367" s="153">
        <f t="shared" si="780"/>
        <v>3000</v>
      </c>
      <c r="O1367" s="153">
        <v>4054</v>
      </c>
      <c r="P1367" s="155">
        <v>4000</v>
      </c>
      <c r="Q1367" s="87">
        <f t="shared" si="740"/>
        <v>0.33333333333333331</v>
      </c>
      <c r="R1367" s="203"/>
    </row>
    <row r="1368" spans="1:19" ht="14.1" customHeight="1" x14ac:dyDescent="0.2">
      <c r="A1368" s="94"/>
      <c r="B1368" s="90"/>
      <c r="C1368" s="154" t="s">
        <v>286</v>
      </c>
      <c r="D1368" s="157"/>
      <c r="E1368" s="158"/>
      <c r="F1368" s="153"/>
      <c r="G1368" s="153"/>
      <c r="H1368" s="153"/>
      <c r="I1368" s="158"/>
      <c r="J1368" s="159"/>
      <c r="K1368" s="153"/>
      <c r="L1368" s="153"/>
      <c r="M1368" s="153"/>
      <c r="N1368" s="153"/>
      <c r="O1368" s="153">
        <v>92</v>
      </c>
      <c r="P1368" s="155">
        <v>200</v>
      </c>
      <c r="Q1368" s="87"/>
      <c r="R1368" s="203"/>
    </row>
    <row r="1369" spans="1:19" ht="14.1" customHeight="1" x14ac:dyDescent="0.2">
      <c r="A1369" s="94"/>
      <c r="B1369" s="90"/>
      <c r="C1369" s="154" t="s">
        <v>614</v>
      </c>
      <c r="D1369" s="157">
        <v>0</v>
      </c>
      <c r="E1369" s="158"/>
      <c r="F1369" s="153">
        <f t="shared" si="769"/>
        <v>0</v>
      </c>
      <c r="G1369" s="153"/>
      <c r="H1369" s="153">
        <f t="shared" si="774"/>
        <v>0</v>
      </c>
      <c r="I1369" s="158"/>
      <c r="J1369" s="159"/>
      <c r="K1369" s="153"/>
      <c r="L1369" s="153"/>
      <c r="M1369" s="153"/>
      <c r="N1369" s="153">
        <f t="shared" si="780"/>
        <v>0</v>
      </c>
      <c r="O1369" s="153"/>
      <c r="P1369" s="155">
        <f>+N1369+M1369</f>
        <v>0</v>
      </c>
      <c r="Q1369" s="87"/>
      <c r="R1369" s="203"/>
    </row>
    <row r="1370" spans="1:19" ht="14.1" customHeight="1" x14ac:dyDescent="0.2">
      <c r="A1370" s="94"/>
      <c r="B1370" s="90">
        <v>5515</v>
      </c>
      <c r="C1370" s="72" t="s">
        <v>426</v>
      </c>
      <c r="D1370" s="102">
        <v>0</v>
      </c>
      <c r="E1370" s="71"/>
      <c r="F1370" s="74">
        <f t="shared" si="769"/>
        <v>0</v>
      </c>
      <c r="G1370" s="74"/>
      <c r="H1370" s="74">
        <f t="shared" si="774"/>
        <v>0</v>
      </c>
      <c r="I1370" s="71">
        <v>1982</v>
      </c>
      <c r="J1370" s="73"/>
      <c r="K1370" s="74"/>
      <c r="L1370" s="74"/>
      <c r="M1370" s="74"/>
      <c r="N1370" s="74">
        <f t="shared" ref="N1370:N1372" si="781">+M1370+L1370</f>
        <v>0</v>
      </c>
      <c r="O1370" s="74">
        <v>3090</v>
      </c>
      <c r="P1370" s="67">
        <v>5000</v>
      </c>
      <c r="Q1370" s="87">
        <v>1</v>
      </c>
      <c r="R1370" s="203" t="s">
        <v>1098</v>
      </c>
    </row>
    <row r="1371" spans="1:19" ht="14.1" customHeight="1" x14ac:dyDescent="0.2">
      <c r="A1371" s="94"/>
      <c r="B1371" s="90">
        <v>5521</v>
      </c>
      <c r="C1371" s="72" t="s">
        <v>427</v>
      </c>
      <c r="D1371" s="102">
        <v>120000</v>
      </c>
      <c r="E1371" s="71"/>
      <c r="F1371" s="74">
        <f t="shared" si="769"/>
        <v>120000</v>
      </c>
      <c r="G1371" s="74"/>
      <c r="H1371" s="74">
        <f t="shared" si="774"/>
        <v>120000</v>
      </c>
      <c r="I1371" s="71">
        <v>79885</v>
      </c>
      <c r="J1371" s="73">
        <v>130000</v>
      </c>
      <c r="K1371" s="74">
        <v>-10000</v>
      </c>
      <c r="L1371" s="74">
        <f>+K1371+J1371</f>
        <v>120000</v>
      </c>
      <c r="M1371" s="74"/>
      <c r="N1371" s="74">
        <f t="shared" si="781"/>
        <v>120000</v>
      </c>
      <c r="O1371" s="74">
        <v>104671</v>
      </c>
      <c r="P1371" s="67">
        <v>140000</v>
      </c>
      <c r="Q1371" s="87">
        <f t="shared" si="740"/>
        <v>0.16666666666666666</v>
      </c>
      <c r="R1371" s="206"/>
      <c r="S1371" s="56" t="s">
        <v>1375</v>
      </c>
    </row>
    <row r="1372" spans="1:19" ht="14.1" customHeight="1" x14ac:dyDescent="0.2">
      <c r="A1372" s="94"/>
      <c r="B1372" s="90">
        <v>5522</v>
      </c>
      <c r="C1372" s="72" t="s">
        <v>428</v>
      </c>
      <c r="D1372" s="102">
        <v>0</v>
      </c>
      <c r="E1372" s="71"/>
      <c r="F1372" s="74">
        <f t="shared" si="769"/>
        <v>0</v>
      </c>
      <c r="G1372" s="74"/>
      <c r="H1372" s="74">
        <f t="shared" si="774"/>
        <v>0</v>
      </c>
      <c r="I1372" s="71">
        <v>127</v>
      </c>
      <c r="J1372" s="73"/>
      <c r="K1372" s="74"/>
      <c r="L1372" s="74"/>
      <c r="M1372" s="74"/>
      <c r="N1372" s="74">
        <f t="shared" si="781"/>
        <v>0</v>
      </c>
      <c r="O1372" s="74">
        <v>100</v>
      </c>
      <c r="P1372" s="67">
        <f>+N1372+M1372</f>
        <v>0</v>
      </c>
      <c r="Q1372" s="87"/>
      <c r="R1372" s="203"/>
    </row>
    <row r="1373" spans="1:19" ht="14.1" customHeight="1" x14ac:dyDescent="0.2">
      <c r="A1373" s="94"/>
      <c r="B1373" s="90">
        <v>5532</v>
      </c>
      <c r="C1373" s="72" t="s">
        <v>981</v>
      </c>
      <c r="D1373" s="102"/>
      <c r="E1373" s="71"/>
      <c r="F1373" s="74"/>
      <c r="G1373" s="74"/>
      <c r="H1373" s="74"/>
      <c r="I1373" s="71"/>
      <c r="J1373" s="73"/>
      <c r="K1373" s="73"/>
      <c r="L1373" s="73"/>
      <c r="M1373" s="73"/>
      <c r="N1373" s="73"/>
      <c r="O1373" s="73"/>
      <c r="P1373" s="127">
        <v>900</v>
      </c>
      <c r="Q1373" s="87"/>
      <c r="R1373" s="203" t="s">
        <v>1099</v>
      </c>
    </row>
    <row r="1374" spans="1:19" ht="14.1" customHeight="1" x14ac:dyDescent="0.2">
      <c r="A1374" s="146" t="s">
        <v>429</v>
      </c>
      <c r="B1374" s="147"/>
      <c r="C1374" s="148" t="s">
        <v>430</v>
      </c>
      <c r="D1374" s="149">
        <v>32915</v>
      </c>
      <c r="E1374" s="150"/>
      <c r="F1374" s="137">
        <f t="shared" si="769"/>
        <v>32915</v>
      </c>
      <c r="G1374" s="137">
        <v>0</v>
      </c>
      <c r="H1374" s="137">
        <f>+H1375+H1376</f>
        <v>32915</v>
      </c>
      <c r="I1374" s="151">
        <f>+I1375+I1376</f>
        <v>22983</v>
      </c>
      <c r="J1374" s="152">
        <f>+J1375+J1376</f>
        <v>42201</v>
      </c>
      <c r="K1374" s="152">
        <f t="shared" ref="K1374:L1374" si="782">+K1375+K1376</f>
        <v>-2260</v>
      </c>
      <c r="L1374" s="152">
        <f t="shared" si="782"/>
        <v>39941</v>
      </c>
      <c r="M1374" s="152">
        <f t="shared" ref="M1374:N1374" si="783">+M1375+M1376</f>
        <v>0</v>
      </c>
      <c r="N1374" s="152">
        <f t="shared" si="783"/>
        <v>39941</v>
      </c>
      <c r="O1374" s="152">
        <f t="shared" ref="O1374:P1374" si="784">+O1375+O1376</f>
        <v>31361</v>
      </c>
      <c r="P1374" s="152">
        <f t="shared" si="784"/>
        <v>38351</v>
      </c>
      <c r="Q1374" s="87">
        <f t="shared" si="740"/>
        <v>-3.980871785884179E-2</v>
      </c>
      <c r="R1374" s="203"/>
    </row>
    <row r="1375" spans="1:19" ht="14.1" customHeight="1" x14ac:dyDescent="0.2">
      <c r="A1375" s="94"/>
      <c r="B1375" s="95">
        <v>50</v>
      </c>
      <c r="C1375" s="96" t="s">
        <v>102</v>
      </c>
      <c r="D1375" s="43">
        <v>15020</v>
      </c>
      <c r="E1375" s="71"/>
      <c r="F1375" s="98">
        <f t="shared" si="769"/>
        <v>15020</v>
      </c>
      <c r="G1375" s="98"/>
      <c r="H1375" s="98">
        <f>+G1375+F1375</f>
        <v>15020</v>
      </c>
      <c r="I1375" s="97">
        <v>12189</v>
      </c>
      <c r="J1375" s="99">
        <v>16056</v>
      </c>
      <c r="K1375" s="98">
        <v>0</v>
      </c>
      <c r="L1375" s="182">
        <f>+K1375+J1375</f>
        <v>16056</v>
      </c>
      <c r="M1375" s="182"/>
      <c r="N1375" s="182">
        <f t="shared" ref="N1375" si="785">+M1375+L1375</f>
        <v>16056</v>
      </c>
      <c r="O1375" s="182">
        <v>13399</v>
      </c>
      <c r="P1375" s="78">
        <v>18464</v>
      </c>
      <c r="Q1375" s="87">
        <f t="shared" si="740"/>
        <v>0.14997508719481814</v>
      </c>
      <c r="R1375" s="203" t="s">
        <v>1017</v>
      </c>
    </row>
    <row r="1376" spans="1:19" ht="14.1" customHeight="1" x14ac:dyDescent="0.2">
      <c r="A1376" s="94"/>
      <c r="B1376" s="95">
        <v>55</v>
      </c>
      <c r="C1376" s="96" t="s">
        <v>431</v>
      </c>
      <c r="D1376" s="43">
        <v>17895</v>
      </c>
      <c r="E1376" s="71"/>
      <c r="F1376" s="98">
        <f t="shared" si="769"/>
        <v>17895</v>
      </c>
      <c r="G1376" s="98"/>
      <c r="H1376" s="98">
        <f t="shared" ref="H1376:H1390" si="786">+G1376+F1376</f>
        <v>17895</v>
      </c>
      <c r="I1376" s="97">
        <f>+I1377+I1378+I1379+I1387+I1388+I1389+I1390</f>
        <v>10794</v>
      </c>
      <c r="J1376" s="99">
        <f>+J1377+J1378+J1379+J1387+J1388+J1389+J1390</f>
        <v>26145</v>
      </c>
      <c r="K1376" s="99">
        <f>+K1377+K1378+K1379+K1387+K1388+K1389+K1390</f>
        <v>-2260</v>
      </c>
      <c r="L1376" s="170">
        <f>+L1377+L1378+L1379+L1387+L1388+L1389+L1390</f>
        <v>23885</v>
      </c>
      <c r="M1376" s="170">
        <f t="shared" ref="M1376:N1376" si="787">+M1377+M1378+M1379+M1387+M1388+M1389+M1390</f>
        <v>0</v>
      </c>
      <c r="N1376" s="170">
        <f t="shared" si="787"/>
        <v>23885</v>
      </c>
      <c r="O1376" s="170">
        <f t="shared" ref="O1376" si="788">+O1377+O1378+O1379+O1387+O1388+O1389+O1390</f>
        <v>17962</v>
      </c>
      <c r="P1376" s="170">
        <f>+P1377+P1378+P1379+P1387+P1388+P1389+P1390+P1391</f>
        <v>19887</v>
      </c>
      <c r="Q1376" s="87">
        <f t="shared" ref="Q1376:Q1470" si="789">(P1376-N1376)/N1376</f>
        <v>-0.16738538831902869</v>
      </c>
      <c r="R1376" s="203"/>
    </row>
    <row r="1377" spans="1:25" ht="14.1" customHeight="1" x14ac:dyDescent="0.2">
      <c r="A1377" s="94"/>
      <c r="B1377" s="90">
        <v>5500</v>
      </c>
      <c r="C1377" s="103" t="s">
        <v>115</v>
      </c>
      <c r="D1377" s="102">
        <v>350</v>
      </c>
      <c r="E1377" s="71"/>
      <c r="F1377" s="74">
        <f t="shared" si="769"/>
        <v>350</v>
      </c>
      <c r="G1377" s="74"/>
      <c r="H1377" s="74">
        <f t="shared" si="786"/>
        <v>350</v>
      </c>
      <c r="I1377" s="71">
        <v>45</v>
      </c>
      <c r="J1377" s="73">
        <v>350</v>
      </c>
      <c r="K1377" s="74"/>
      <c r="L1377" s="74">
        <v>350</v>
      </c>
      <c r="M1377" s="74"/>
      <c r="N1377" s="74">
        <f>+L1377+M1377</f>
        <v>350</v>
      </c>
      <c r="O1377" s="74">
        <v>21</v>
      </c>
      <c r="P1377" s="67"/>
      <c r="Q1377" s="87">
        <f t="shared" si="789"/>
        <v>-1</v>
      </c>
      <c r="R1377" s="203"/>
    </row>
    <row r="1378" spans="1:25" ht="14.1" customHeight="1" x14ac:dyDescent="0.2">
      <c r="A1378" s="94"/>
      <c r="B1378" s="90">
        <v>5504</v>
      </c>
      <c r="C1378" s="103" t="s">
        <v>245</v>
      </c>
      <c r="D1378" s="102">
        <v>120</v>
      </c>
      <c r="E1378" s="71"/>
      <c r="F1378" s="74">
        <f t="shared" si="769"/>
        <v>120</v>
      </c>
      <c r="G1378" s="74"/>
      <c r="H1378" s="74">
        <f t="shared" si="786"/>
        <v>120</v>
      </c>
      <c r="I1378" s="71">
        <v>13</v>
      </c>
      <c r="J1378" s="73">
        <v>120</v>
      </c>
      <c r="K1378" s="74"/>
      <c r="L1378" s="74">
        <v>120</v>
      </c>
      <c r="M1378" s="74"/>
      <c r="N1378" s="74">
        <f>+L1378+M1378</f>
        <v>120</v>
      </c>
      <c r="O1378" s="74"/>
      <c r="P1378" s="67"/>
      <c r="Q1378" s="87">
        <f t="shared" si="789"/>
        <v>-1</v>
      </c>
      <c r="R1378" s="203"/>
    </row>
    <row r="1379" spans="1:25" ht="14.1" customHeight="1" x14ac:dyDescent="0.2">
      <c r="A1379" s="94"/>
      <c r="B1379" s="90">
        <v>5511</v>
      </c>
      <c r="C1379" s="103" t="s">
        <v>110</v>
      </c>
      <c r="D1379" s="102">
        <v>6900</v>
      </c>
      <c r="E1379" s="71"/>
      <c r="F1379" s="74">
        <f t="shared" si="769"/>
        <v>6900</v>
      </c>
      <c r="G1379" s="74"/>
      <c r="H1379" s="74">
        <f t="shared" si="786"/>
        <v>6900</v>
      </c>
      <c r="I1379" s="71">
        <f>+I1380+I1381+I1382+I1383+I1384+I1385+I1386</f>
        <v>6768</v>
      </c>
      <c r="J1379" s="73">
        <f>SUM(J1380:J1386)</f>
        <v>12700</v>
      </c>
      <c r="K1379" s="74"/>
      <c r="L1379" s="74">
        <f>SUM(L1380:L1386)</f>
        <v>9500</v>
      </c>
      <c r="M1379" s="74">
        <f t="shared" ref="M1379:O1379" si="790">SUM(M1380:M1386)</f>
        <v>0</v>
      </c>
      <c r="N1379" s="74">
        <f t="shared" si="790"/>
        <v>9500</v>
      </c>
      <c r="O1379" s="74">
        <f t="shared" si="790"/>
        <v>4577</v>
      </c>
      <c r="P1379" s="67">
        <f t="shared" ref="P1379" si="791">SUM(P1380:P1386)</f>
        <v>7557</v>
      </c>
      <c r="Q1379" s="87">
        <f t="shared" si="789"/>
        <v>-0.20452631578947369</v>
      </c>
      <c r="R1379" s="204"/>
    </row>
    <row r="1380" spans="1:25" s="49" customFormat="1" ht="14.1" customHeight="1" x14ac:dyDescent="0.25">
      <c r="A1380" s="245"/>
      <c r="B1380" s="185"/>
      <c r="C1380" s="193" t="s">
        <v>223</v>
      </c>
      <c r="D1380" s="157">
        <v>2300</v>
      </c>
      <c r="E1380" s="158"/>
      <c r="F1380" s="153">
        <f t="shared" si="769"/>
        <v>2300</v>
      </c>
      <c r="G1380" s="153"/>
      <c r="H1380" s="153">
        <f t="shared" si="786"/>
        <v>2300</v>
      </c>
      <c r="I1380" s="158">
        <v>2135</v>
      </c>
      <c r="J1380" s="159">
        <v>2300</v>
      </c>
      <c r="K1380" s="153"/>
      <c r="L1380" s="153">
        <v>2300</v>
      </c>
      <c r="M1380" s="153"/>
      <c r="N1380" s="153">
        <f t="shared" ref="N1380:N1385" si="792">+L1380+M1380</f>
        <v>2300</v>
      </c>
      <c r="O1380" s="153">
        <v>815</v>
      </c>
      <c r="P1380" s="155">
        <v>2000</v>
      </c>
      <c r="Q1380" s="87">
        <f t="shared" si="789"/>
        <v>-0.13043478260869565</v>
      </c>
      <c r="R1380" s="204" t="s">
        <v>1529</v>
      </c>
      <c r="S1380" s="56"/>
      <c r="U1380" s="56"/>
      <c r="V1380" s="56"/>
      <c r="W1380" s="56"/>
      <c r="X1380" s="56"/>
      <c r="Y1380" s="56"/>
    </row>
    <row r="1381" spans="1:25" s="49" customFormat="1" ht="14.1" customHeight="1" x14ac:dyDescent="0.25">
      <c r="A1381" s="245"/>
      <c r="B1381" s="185"/>
      <c r="C1381" s="193" t="s">
        <v>224</v>
      </c>
      <c r="D1381" s="157">
        <v>2000</v>
      </c>
      <c r="E1381" s="158"/>
      <c r="F1381" s="153">
        <f t="shared" si="769"/>
        <v>2000</v>
      </c>
      <c r="G1381" s="153"/>
      <c r="H1381" s="153">
        <f t="shared" si="786"/>
        <v>2000</v>
      </c>
      <c r="I1381" s="158">
        <v>1452</v>
      </c>
      <c r="J1381" s="159">
        <v>2000</v>
      </c>
      <c r="K1381" s="153"/>
      <c r="L1381" s="153">
        <v>2000</v>
      </c>
      <c r="M1381" s="153"/>
      <c r="N1381" s="153">
        <f t="shared" si="792"/>
        <v>2000</v>
      </c>
      <c r="O1381" s="153">
        <v>1836</v>
      </c>
      <c r="P1381" s="155">
        <v>3800</v>
      </c>
      <c r="Q1381" s="87">
        <f t="shared" si="789"/>
        <v>0.9</v>
      </c>
      <c r="R1381" s="204"/>
      <c r="S1381" s="56"/>
      <c r="U1381" s="56"/>
      <c r="V1381" s="56"/>
      <c r="W1381" s="56"/>
      <c r="X1381" s="56"/>
      <c r="Y1381" s="56"/>
    </row>
    <row r="1382" spans="1:25" s="49" customFormat="1" ht="14.1" customHeight="1" x14ac:dyDescent="0.25">
      <c r="A1382" s="245"/>
      <c r="B1382" s="185"/>
      <c r="C1382" s="193" t="s">
        <v>225</v>
      </c>
      <c r="D1382" s="157">
        <v>600</v>
      </c>
      <c r="E1382" s="158"/>
      <c r="F1382" s="153">
        <f t="shared" si="769"/>
        <v>600</v>
      </c>
      <c r="G1382" s="153"/>
      <c r="H1382" s="153">
        <f t="shared" si="786"/>
        <v>600</v>
      </c>
      <c r="I1382" s="158">
        <v>332</v>
      </c>
      <c r="J1382" s="159">
        <v>300</v>
      </c>
      <c r="K1382" s="153"/>
      <c r="L1382" s="153">
        <v>300</v>
      </c>
      <c r="M1382" s="153"/>
      <c r="N1382" s="153">
        <f t="shared" si="792"/>
        <v>300</v>
      </c>
      <c r="O1382" s="153">
        <v>405</v>
      </c>
      <c r="P1382" s="155">
        <v>600</v>
      </c>
      <c r="Q1382" s="87">
        <f t="shared" si="789"/>
        <v>1</v>
      </c>
      <c r="R1382" s="204"/>
      <c r="S1382" s="56"/>
      <c r="U1382" s="56"/>
      <c r="V1382" s="56"/>
      <c r="W1382" s="56"/>
      <c r="X1382" s="56"/>
      <c r="Y1382" s="56"/>
    </row>
    <row r="1383" spans="1:25" s="49" customFormat="1" ht="14.1" customHeight="1" x14ac:dyDescent="0.25">
      <c r="A1383" s="245"/>
      <c r="B1383" s="185"/>
      <c r="C1383" s="193" t="s">
        <v>226</v>
      </c>
      <c r="D1383" s="157">
        <v>1000</v>
      </c>
      <c r="E1383" s="158"/>
      <c r="F1383" s="153">
        <f t="shared" si="769"/>
        <v>1000</v>
      </c>
      <c r="G1383" s="153"/>
      <c r="H1383" s="153">
        <f t="shared" si="786"/>
        <v>1000</v>
      </c>
      <c r="I1383" s="158">
        <v>682</v>
      </c>
      <c r="J1383" s="159">
        <v>1000</v>
      </c>
      <c r="K1383" s="153"/>
      <c r="L1383" s="153">
        <v>1000</v>
      </c>
      <c r="M1383" s="153"/>
      <c r="N1383" s="153">
        <f t="shared" si="792"/>
        <v>1000</v>
      </c>
      <c r="O1383" s="153">
        <v>58</v>
      </c>
      <c r="P1383" s="155">
        <v>100</v>
      </c>
      <c r="Q1383" s="87">
        <f t="shared" si="789"/>
        <v>-0.9</v>
      </c>
      <c r="R1383" s="204"/>
      <c r="S1383" s="56"/>
      <c r="U1383" s="56"/>
      <c r="V1383" s="56"/>
      <c r="W1383" s="56"/>
      <c r="X1383" s="56"/>
      <c r="Y1383" s="56"/>
    </row>
    <row r="1384" spans="1:25" s="49" customFormat="1" ht="14.1" customHeight="1" x14ac:dyDescent="0.25">
      <c r="A1384" s="245"/>
      <c r="B1384" s="185"/>
      <c r="C1384" s="193" t="s">
        <v>227</v>
      </c>
      <c r="D1384" s="157">
        <v>300</v>
      </c>
      <c r="E1384" s="158"/>
      <c r="F1384" s="153">
        <f t="shared" si="769"/>
        <v>300</v>
      </c>
      <c r="G1384" s="153"/>
      <c r="H1384" s="153">
        <f t="shared" si="786"/>
        <v>300</v>
      </c>
      <c r="I1384" s="158">
        <v>539</v>
      </c>
      <c r="J1384" s="159">
        <v>300</v>
      </c>
      <c r="K1384" s="153"/>
      <c r="L1384" s="153">
        <v>300</v>
      </c>
      <c r="M1384" s="153"/>
      <c r="N1384" s="153">
        <f t="shared" si="792"/>
        <v>300</v>
      </c>
      <c r="O1384" s="153">
        <v>386</v>
      </c>
      <c r="P1384" s="155">
        <v>500</v>
      </c>
      <c r="Q1384" s="87">
        <f t="shared" si="789"/>
        <v>0.66666666666666663</v>
      </c>
      <c r="R1384" s="204"/>
      <c r="S1384" s="56"/>
      <c r="U1384" s="56"/>
      <c r="V1384" s="56"/>
      <c r="W1384" s="56"/>
      <c r="X1384" s="56"/>
      <c r="Y1384" s="56"/>
    </row>
    <row r="1385" spans="1:25" s="49" customFormat="1" ht="14.1" customHeight="1" x14ac:dyDescent="0.25">
      <c r="A1385" s="245"/>
      <c r="B1385" s="185"/>
      <c r="C1385" s="193" t="s">
        <v>230</v>
      </c>
      <c r="D1385" s="157">
        <v>700</v>
      </c>
      <c r="E1385" s="158"/>
      <c r="F1385" s="153">
        <f t="shared" si="769"/>
        <v>700</v>
      </c>
      <c r="G1385" s="153"/>
      <c r="H1385" s="153">
        <f t="shared" si="786"/>
        <v>700</v>
      </c>
      <c r="I1385" s="158">
        <v>1530</v>
      </c>
      <c r="J1385" s="159">
        <v>6700</v>
      </c>
      <c r="K1385" s="153"/>
      <c r="L1385" s="153">
        <v>3500</v>
      </c>
      <c r="M1385" s="153"/>
      <c r="N1385" s="153">
        <f t="shared" si="792"/>
        <v>3500</v>
      </c>
      <c r="O1385" s="153">
        <v>1020</v>
      </c>
      <c r="P1385" s="155">
        <v>500</v>
      </c>
      <c r="Q1385" s="87">
        <f t="shared" si="789"/>
        <v>-0.8571428571428571</v>
      </c>
      <c r="R1385" s="204"/>
      <c r="S1385" s="56"/>
      <c r="U1385" s="56"/>
      <c r="V1385" s="56"/>
      <c r="W1385" s="56"/>
      <c r="X1385" s="56"/>
      <c r="Y1385" s="56"/>
    </row>
    <row r="1386" spans="1:25" s="49" customFormat="1" ht="14.1" customHeight="1" x14ac:dyDescent="0.25">
      <c r="A1386" s="245"/>
      <c r="B1386" s="185"/>
      <c r="C1386" s="193" t="s">
        <v>231</v>
      </c>
      <c r="D1386" s="157">
        <v>0</v>
      </c>
      <c r="E1386" s="158"/>
      <c r="F1386" s="153">
        <f t="shared" si="769"/>
        <v>0</v>
      </c>
      <c r="G1386" s="153"/>
      <c r="H1386" s="153">
        <f t="shared" si="786"/>
        <v>0</v>
      </c>
      <c r="I1386" s="158">
        <v>98</v>
      </c>
      <c r="J1386" s="159">
        <v>100</v>
      </c>
      <c r="K1386" s="153"/>
      <c r="L1386" s="153">
        <v>100</v>
      </c>
      <c r="M1386" s="153"/>
      <c r="N1386" s="153">
        <f>+L1386+M1386</f>
        <v>100</v>
      </c>
      <c r="O1386" s="153">
        <v>57</v>
      </c>
      <c r="P1386" s="155">
        <v>57</v>
      </c>
      <c r="Q1386" s="87">
        <f t="shared" si="789"/>
        <v>-0.43</v>
      </c>
      <c r="R1386" s="204"/>
      <c r="S1386" s="56"/>
      <c r="U1386" s="56"/>
      <c r="V1386" s="56"/>
      <c r="W1386" s="56"/>
      <c r="X1386" s="56"/>
      <c r="Y1386" s="56"/>
    </row>
    <row r="1387" spans="1:25" ht="14.1" customHeight="1" x14ac:dyDescent="0.2">
      <c r="A1387" s="94"/>
      <c r="B1387" s="90">
        <v>5514</v>
      </c>
      <c r="C1387" s="72" t="s">
        <v>112</v>
      </c>
      <c r="D1387" s="102">
        <v>200</v>
      </c>
      <c r="E1387" s="71"/>
      <c r="F1387" s="74">
        <f t="shared" si="769"/>
        <v>200</v>
      </c>
      <c r="G1387" s="74"/>
      <c r="H1387" s="74">
        <f t="shared" si="786"/>
        <v>200</v>
      </c>
      <c r="I1387" s="71"/>
      <c r="J1387" s="73">
        <v>200</v>
      </c>
      <c r="K1387" s="74"/>
      <c r="L1387" s="74">
        <v>200</v>
      </c>
      <c r="M1387" s="74"/>
      <c r="N1387" s="74">
        <f>+L1387+M1387</f>
        <v>200</v>
      </c>
      <c r="O1387" s="74"/>
      <c r="P1387" s="67">
        <v>0</v>
      </c>
      <c r="Q1387" s="87">
        <f t="shared" si="789"/>
        <v>-1</v>
      </c>
      <c r="R1387" s="203"/>
    </row>
    <row r="1388" spans="1:25" ht="14.1" customHeight="1" x14ac:dyDescent="0.2">
      <c r="A1388" s="94"/>
      <c r="B1388" s="90">
        <v>5515</v>
      </c>
      <c r="C1388" s="72" t="s">
        <v>133</v>
      </c>
      <c r="D1388" s="102">
        <v>600</v>
      </c>
      <c r="E1388" s="71"/>
      <c r="F1388" s="74">
        <f t="shared" si="769"/>
        <v>600</v>
      </c>
      <c r="G1388" s="74"/>
      <c r="H1388" s="74">
        <f t="shared" si="786"/>
        <v>600</v>
      </c>
      <c r="I1388" s="71">
        <v>362</v>
      </c>
      <c r="J1388" s="73">
        <v>3000</v>
      </c>
      <c r="K1388" s="74">
        <v>-2260</v>
      </c>
      <c r="L1388" s="74">
        <v>3940</v>
      </c>
      <c r="M1388" s="74"/>
      <c r="N1388" s="74">
        <f>+L1388+M1388</f>
        <v>3940</v>
      </c>
      <c r="O1388" s="74">
        <v>5655</v>
      </c>
      <c r="P1388" s="67">
        <v>3000</v>
      </c>
      <c r="Q1388" s="87">
        <f t="shared" si="789"/>
        <v>-0.23857868020304568</v>
      </c>
      <c r="R1388" s="206"/>
    </row>
    <row r="1389" spans="1:25" ht="14.1" customHeight="1" x14ac:dyDescent="0.2">
      <c r="A1389" s="94"/>
      <c r="B1389" s="90">
        <v>5521</v>
      </c>
      <c r="C1389" s="72" t="s">
        <v>263</v>
      </c>
      <c r="D1389" s="102">
        <v>9625</v>
      </c>
      <c r="E1389" s="71"/>
      <c r="F1389" s="74">
        <f t="shared" si="769"/>
        <v>9625</v>
      </c>
      <c r="G1389" s="74"/>
      <c r="H1389" s="74">
        <f t="shared" si="786"/>
        <v>9625</v>
      </c>
      <c r="I1389" s="71">
        <v>3606</v>
      </c>
      <c r="J1389" s="73">
        <v>9625</v>
      </c>
      <c r="K1389" s="74"/>
      <c r="L1389" s="74">
        <v>9625</v>
      </c>
      <c r="M1389" s="74"/>
      <c r="N1389" s="74">
        <f>+L1389+M1389</f>
        <v>9625</v>
      </c>
      <c r="O1389" s="74">
        <v>7709</v>
      </c>
      <c r="P1389" s="67">
        <v>9000</v>
      </c>
      <c r="Q1389" s="87">
        <f t="shared" si="789"/>
        <v>-6.4935064935064929E-2</v>
      </c>
      <c r="R1389" s="203"/>
      <c r="S1389" s="56" t="s">
        <v>1376</v>
      </c>
    </row>
    <row r="1390" spans="1:25" ht="14.1" customHeight="1" x14ac:dyDescent="0.2">
      <c r="A1390" s="94"/>
      <c r="B1390" s="52">
        <v>5522</v>
      </c>
      <c r="C1390" s="72" t="s">
        <v>137</v>
      </c>
      <c r="D1390" s="102">
        <v>100</v>
      </c>
      <c r="E1390" s="71"/>
      <c r="F1390" s="74">
        <f t="shared" si="769"/>
        <v>100</v>
      </c>
      <c r="G1390" s="74"/>
      <c r="H1390" s="74">
        <f t="shared" si="786"/>
        <v>100</v>
      </c>
      <c r="I1390" s="71"/>
      <c r="J1390" s="57">
        <v>150</v>
      </c>
      <c r="K1390" s="74"/>
      <c r="L1390" s="74">
        <v>150</v>
      </c>
      <c r="M1390" s="74"/>
      <c r="N1390" s="74">
        <f>+L1390+M1390</f>
        <v>150</v>
      </c>
      <c r="O1390" s="74"/>
      <c r="P1390" s="67">
        <v>150</v>
      </c>
      <c r="Q1390" s="87">
        <f t="shared" si="789"/>
        <v>0</v>
      </c>
      <c r="R1390" s="203"/>
    </row>
    <row r="1391" spans="1:25" ht="14.1" customHeight="1" x14ac:dyDescent="0.2">
      <c r="A1391" s="94"/>
      <c r="B1391" s="52">
        <v>5532</v>
      </c>
      <c r="C1391" s="72" t="s">
        <v>981</v>
      </c>
      <c r="D1391" s="102"/>
      <c r="E1391" s="71"/>
      <c r="F1391" s="74"/>
      <c r="G1391" s="74"/>
      <c r="H1391" s="74"/>
      <c r="I1391" s="71"/>
      <c r="K1391" s="73"/>
      <c r="L1391" s="73"/>
      <c r="M1391" s="73"/>
      <c r="N1391" s="73"/>
      <c r="O1391" s="73"/>
      <c r="P1391" s="67">
        <v>180</v>
      </c>
      <c r="Q1391" s="87"/>
      <c r="R1391" s="203"/>
    </row>
    <row r="1392" spans="1:25" ht="14.1" customHeight="1" x14ac:dyDescent="0.2">
      <c r="A1392" s="246" t="s">
        <v>432</v>
      </c>
      <c r="B1392" s="147"/>
      <c r="C1392" s="148" t="s">
        <v>433</v>
      </c>
      <c r="D1392" s="149">
        <v>79100</v>
      </c>
      <c r="E1392" s="150"/>
      <c r="F1392" s="137">
        <f t="shared" ref="F1392:F1426" si="793">+E1392+D1392</f>
        <v>79100</v>
      </c>
      <c r="G1392" s="137">
        <v>0</v>
      </c>
      <c r="H1392" s="137">
        <f>+H1393+H1394</f>
        <v>79100</v>
      </c>
      <c r="I1392" s="151">
        <f>+I1393+I1394</f>
        <v>51537</v>
      </c>
      <c r="J1392" s="152">
        <f>+J1393+J1394</f>
        <v>80796</v>
      </c>
      <c r="K1392" s="152">
        <f t="shared" ref="K1392:L1392" si="794">+K1393+K1394</f>
        <v>-5000</v>
      </c>
      <c r="L1392" s="152">
        <f t="shared" si="794"/>
        <v>75796</v>
      </c>
      <c r="M1392" s="152">
        <f t="shared" ref="M1392:N1392" si="795">+M1393+M1394</f>
        <v>0</v>
      </c>
      <c r="N1392" s="152">
        <f t="shared" si="795"/>
        <v>75796</v>
      </c>
      <c r="O1392" s="152">
        <f t="shared" ref="O1392:P1392" si="796">+O1393+O1394</f>
        <v>61319</v>
      </c>
      <c r="P1392" s="152">
        <f t="shared" si="796"/>
        <v>79917</v>
      </c>
      <c r="Q1392" s="87">
        <f t="shared" si="789"/>
        <v>5.4369623726845742E-2</v>
      </c>
      <c r="R1392" s="203"/>
    </row>
    <row r="1393" spans="1:21" ht="14.1" customHeight="1" x14ac:dyDescent="0.2">
      <c r="A1393" s="94"/>
      <c r="B1393" s="95">
        <v>50</v>
      </c>
      <c r="C1393" s="96" t="s">
        <v>102</v>
      </c>
      <c r="D1393" s="43">
        <v>27800</v>
      </c>
      <c r="E1393" s="71"/>
      <c r="F1393" s="98">
        <f t="shared" si="793"/>
        <v>27800</v>
      </c>
      <c r="G1393" s="98"/>
      <c r="H1393" s="98">
        <f>+G1393+F1393</f>
        <v>27800</v>
      </c>
      <c r="I1393" s="97">
        <v>23139</v>
      </c>
      <c r="J1393" s="73">
        <v>29220</v>
      </c>
      <c r="K1393" s="74">
        <v>0</v>
      </c>
      <c r="L1393" s="140">
        <f>+K1393+J1393</f>
        <v>29220</v>
      </c>
      <c r="M1393" s="140"/>
      <c r="N1393" s="182">
        <f t="shared" ref="N1393" si="797">+M1393+L1393</f>
        <v>29220</v>
      </c>
      <c r="O1393" s="182">
        <v>25519</v>
      </c>
      <c r="P1393" s="78">
        <v>33637</v>
      </c>
      <c r="Q1393" s="87">
        <f t="shared" si="789"/>
        <v>0.15116358658453113</v>
      </c>
      <c r="R1393" s="203" t="s">
        <v>1377</v>
      </c>
    </row>
    <row r="1394" spans="1:21" ht="14.1" customHeight="1" x14ac:dyDescent="0.2">
      <c r="A1394" s="94"/>
      <c r="B1394" s="95">
        <v>55</v>
      </c>
      <c r="C1394" s="96" t="s">
        <v>431</v>
      </c>
      <c r="D1394" s="43">
        <v>51300</v>
      </c>
      <c r="E1394" s="71"/>
      <c r="F1394" s="98">
        <f t="shared" si="793"/>
        <v>51300</v>
      </c>
      <c r="G1394" s="98"/>
      <c r="H1394" s="98">
        <f t="shared" ref="H1394:H1400" si="798">+G1394+F1394</f>
        <v>51300</v>
      </c>
      <c r="I1394" s="97">
        <f>+I1396+I1397+I1398+I1399+I1400</f>
        <v>28398</v>
      </c>
      <c r="J1394" s="73">
        <f>SUM(J1396:J1400)</f>
        <v>51576</v>
      </c>
      <c r="K1394" s="73">
        <f t="shared" ref="K1394:L1394" si="799">SUM(K1396:K1400)</f>
        <v>-5000</v>
      </c>
      <c r="L1394" s="166">
        <f t="shared" si="799"/>
        <v>46576</v>
      </c>
      <c r="M1394" s="166">
        <f t="shared" ref="M1394:N1394" si="800">SUM(M1396:M1400)</f>
        <v>0</v>
      </c>
      <c r="N1394" s="166">
        <f t="shared" si="800"/>
        <v>46576</v>
      </c>
      <c r="O1394" s="166">
        <f>SUM(O1395:O1400)</f>
        <v>35800</v>
      </c>
      <c r="P1394" s="166">
        <f>SUM(P1395:P1400)</f>
        <v>46280</v>
      </c>
      <c r="Q1394" s="87">
        <f t="shared" si="789"/>
        <v>-6.355204397114394E-3</v>
      </c>
      <c r="R1394" s="203"/>
    </row>
    <row r="1395" spans="1:21" ht="14.1" customHeight="1" x14ac:dyDescent="0.2">
      <c r="A1395" s="94"/>
      <c r="B1395" s="90">
        <v>5511</v>
      </c>
      <c r="C1395" s="103" t="s">
        <v>110</v>
      </c>
      <c r="D1395" s="43"/>
      <c r="E1395" s="71"/>
      <c r="F1395" s="98"/>
      <c r="G1395" s="98"/>
      <c r="H1395" s="98"/>
      <c r="I1395" s="97"/>
      <c r="J1395" s="73"/>
      <c r="K1395" s="73"/>
      <c r="L1395" s="166"/>
      <c r="M1395" s="166"/>
      <c r="N1395" s="74">
        <v>0</v>
      </c>
      <c r="O1395" s="74">
        <v>305</v>
      </c>
      <c r="P1395" s="67">
        <v>400</v>
      </c>
      <c r="Q1395" s="87"/>
      <c r="R1395" s="203"/>
    </row>
    <row r="1396" spans="1:21" ht="14.1" customHeight="1" x14ac:dyDescent="0.2">
      <c r="A1396" s="94"/>
      <c r="B1396" s="90">
        <v>5514</v>
      </c>
      <c r="C1396" s="72" t="s">
        <v>112</v>
      </c>
      <c r="D1396" s="102">
        <v>360</v>
      </c>
      <c r="E1396" s="71"/>
      <c r="F1396" s="74">
        <f t="shared" si="793"/>
        <v>360</v>
      </c>
      <c r="G1396" s="74"/>
      <c r="H1396" s="74">
        <f t="shared" si="798"/>
        <v>360</v>
      </c>
      <c r="I1396" s="71">
        <v>360</v>
      </c>
      <c r="J1396" s="73">
        <v>360</v>
      </c>
      <c r="K1396" s="74"/>
      <c r="L1396" s="74">
        <v>360</v>
      </c>
      <c r="M1396" s="74"/>
      <c r="N1396" s="74">
        <f t="shared" ref="N1396:N1400" si="801">+M1396+L1396</f>
        <v>360</v>
      </c>
      <c r="O1396" s="74">
        <v>360</v>
      </c>
      <c r="P1396" s="67">
        <v>400</v>
      </c>
      <c r="Q1396" s="87">
        <f t="shared" si="789"/>
        <v>0.1111111111111111</v>
      </c>
      <c r="R1396" s="203"/>
    </row>
    <row r="1397" spans="1:21" ht="14.1" customHeight="1" x14ac:dyDescent="0.2">
      <c r="A1397" s="94"/>
      <c r="B1397" s="90">
        <v>5515</v>
      </c>
      <c r="C1397" s="72" t="s">
        <v>133</v>
      </c>
      <c r="D1397" s="102">
        <v>500</v>
      </c>
      <c r="E1397" s="71"/>
      <c r="F1397" s="74">
        <f t="shared" si="793"/>
        <v>500</v>
      </c>
      <c r="G1397" s="74"/>
      <c r="H1397" s="74">
        <f t="shared" si="798"/>
        <v>500</v>
      </c>
      <c r="I1397" s="71">
        <v>45</v>
      </c>
      <c r="J1397" s="73">
        <v>500</v>
      </c>
      <c r="K1397" s="74">
        <v>0</v>
      </c>
      <c r="L1397" s="74">
        <v>500</v>
      </c>
      <c r="M1397" s="74"/>
      <c r="N1397" s="74">
        <f t="shared" si="801"/>
        <v>500</v>
      </c>
      <c r="O1397" s="74">
        <v>168</v>
      </c>
      <c r="P1397" s="67">
        <v>300</v>
      </c>
      <c r="Q1397" s="87">
        <f t="shared" si="789"/>
        <v>-0.4</v>
      </c>
      <c r="R1397" s="203"/>
    </row>
    <row r="1398" spans="1:21" ht="13.5" customHeight="1" x14ac:dyDescent="0.2">
      <c r="A1398" s="94"/>
      <c r="B1398" s="90">
        <v>5521</v>
      </c>
      <c r="C1398" s="72" t="s">
        <v>263</v>
      </c>
      <c r="D1398" s="102">
        <v>50300</v>
      </c>
      <c r="E1398" s="71"/>
      <c r="F1398" s="74">
        <f t="shared" si="793"/>
        <v>50300</v>
      </c>
      <c r="G1398" s="74"/>
      <c r="H1398" s="74">
        <f t="shared" si="798"/>
        <v>50300</v>
      </c>
      <c r="I1398" s="71">
        <v>27993</v>
      </c>
      <c r="J1398" s="73">
        <v>50576</v>
      </c>
      <c r="K1398" s="74">
        <v>-5000</v>
      </c>
      <c r="L1398" s="74">
        <f>+K1398+J1398</f>
        <v>45576</v>
      </c>
      <c r="M1398" s="74"/>
      <c r="N1398" s="74">
        <f t="shared" si="801"/>
        <v>45576</v>
      </c>
      <c r="O1398" s="74">
        <v>34775</v>
      </c>
      <c r="P1398" s="67">
        <v>45000</v>
      </c>
      <c r="Q1398" s="87">
        <f t="shared" si="789"/>
        <v>-1.2638230647709321E-2</v>
      </c>
      <c r="R1398" s="206"/>
      <c r="S1398" s="56" t="s">
        <v>1378</v>
      </c>
    </row>
    <row r="1399" spans="1:21" ht="13.5" customHeight="1" x14ac:dyDescent="0.2">
      <c r="A1399" s="94"/>
      <c r="B1399" s="90">
        <v>5525</v>
      </c>
      <c r="C1399" s="103" t="s">
        <v>139</v>
      </c>
      <c r="D1399" s="102"/>
      <c r="E1399" s="71"/>
      <c r="F1399" s="74">
        <f t="shared" si="793"/>
        <v>0</v>
      </c>
      <c r="G1399" s="74"/>
      <c r="H1399" s="74">
        <f t="shared" si="798"/>
        <v>0</v>
      </c>
      <c r="I1399" s="71"/>
      <c r="J1399" s="73"/>
      <c r="K1399" s="74"/>
      <c r="L1399" s="74"/>
      <c r="M1399" s="74"/>
      <c r="N1399" s="74">
        <f t="shared" si="801"/>
        <v>0</v>
      </c>
      <c r="O1399" s="74">
        <v>21</v>
      </c>
      <c r="P1399" s="67">
        <f>+N1399+M1399</f>
        <v>0</v>
      </c>
      <c r="Q1399" s="87" t="e">
        <f t="shared" si="789"/>
        <v>#DIV/0!</v>
      </c>
      <c r="R1399" s="203"/>
    </row>
    <row r="1400" spans="1:21" ht="14.1" customHeight="1" x14ac:dyDescent="0.2">
      <c r="A1400" s="94"/>
      <c r="B1400" s="90">
        <v>5532</v>
      </c>
      <c r="C1400" s="56" t="s">
        <v>434</v>
      </c>
      <c r="D1400" s="102">
        <v>140</v>
      </c>
      <c r="E1400" s="71"/>
      <c r="F1400" s="74">
        <f t="shared" si="793"/>
        <v>140</v>
      </c>
      <c r="G1400" s="74"/>
      <c r="H1400" s="74">
        <f t="shared" si="798"/>
        <v>140</v>
      </c>
      <c r="I1400" s="71"/>
      <c r="J1400" s="73">
        <v>140</v>
      </c>
      <c r="K1400" s="74"/>
      <c r="L1400" s="74">
        <v>140</v>
      </c>
      <c r="M1400" s="74"/>
      <c r="N1400" s="74">
        <f t="shared" si="801"/>
        <v>140</v>
      </c>
      <c r="O1400" s="74">
        <v>171</v>
      </c>
      <c r="P1400" s="67">
        <v>180</v>
      </c>
      <c r="Q1400" s="87">
        <f t="shared" si="789"/>
        <v>0.2857142857142857</v>
      </c>
      <c r="R1400" s="203"/>
    </row>
    <row r="1401" spans="1:21" ht="14.1" customHeight="1" x14ac:dyDescent="0.2">
      <c r="A1401" s="146" t="s">
        <v>435</v>
      </c>
      <c r="B1401" s="147"/>
      <c r="C1401" s="148" t="s">
        <v>712</v>
      </c>
      <c r="D1401" s="149">
        <v>40528</v>
      </c>
      <c r="E1401" s="150"/>
      <c r="F1401" s="137">
        <f t="shared" si="793"/>
        <v>40528</v>
      </c>
      <c r="G1401" s="137">
        <v>0</v>
      </c>
      <c r="H1401" s="137">
        <f>+H1402+H1403</f>
        <v>40528</v>
      </c>
      <c r="I1401" s="151">
        <f>+I1402+I1403</f>
        <v>27270</v>
      </c>
      <c r="J1401" s="152">
        <f>+J1402+J1403</f>
        <v>47331</v>
      </c>
      <c r="K1401" s="152">
        <f t="shared" ref="K1401:L1401" si="802">+K1402+K1403</f>
        <v>-3000</v>
      </c>
      <c r="L1401" s="152">
        <f t="shared" si="802"/>
        <v>44331</v>
      </c>
      <c r="M1401" s="152">
        <f t="shared" ref="M1401:N1401" si="803">+M1402+M1403</f>
        <v>0</v>
      </c>
      <c r="N1401" s="152">
        <f t="shared" si="803"/>
        <v>44331</v>
      </c>
      <c r="O1401" s="152">
        <f t="shared" ref="O1401:P1401" si="804">+O1402+O1403</f>
        <v>45328</v>
      </c>
      <c r="P1401" s="152">
        <f t="shared" si="804"/>
        <v>72166</v>
      </c>
      <c r="Q1401" s="87">
        <f t="shared" si="789"/>
        <v>0.62789018970923283</v>
      </c>
      <c r="R1401" s="203"/>
    </row>
    <row r="1402" spans="1:21" ht="14.1" customHeight="1" x14ac:dyDescent="0.2">
      <c r="A1402" s="94"/>
      <c r="B1402" s="95">
        <v>50</v>
      </c>
      <c r="C1402" s="96" t="s">
        <v>102</v>
      </c>
      <c r="D1402" s="43">
        <v>18432</v>
      </c>
      <c r="E1402" s="71"/>
      <c r="F1402" s="98">
        <f t="shared" si="793"/>
        <v>18432</v>
      </c>
      <c r="G1402" s="98"/>
      <c r="H1402" s="98">
        <f>+G1402+F1402</f>
        <v>18432</v>
      </c>
      <c r="I1402" s="97">
        <v>15778</v>
      </c>
      <c r="J1402" s="99">
        <v>23723</v>
      </c>
      <c r="K1402" s="98"/>
      <c r="L1402" s="182">
        <v>23723</v>
      </c>
      <c r="M1402" s="182"/>
      <c r="N1402" s="182">
        <f>+L1402+M1402</f>
        <v>23723</v>
      </c>
      <c r="O1402" s="182">
        <v>28361</v>
      </c>
      <c r="P1402" s="78">
        <v>41286</v>
      </c>
      <c r="Q1402" s="87">
        <f t="shared" si="789"/>
        <v>0.74033638241369137</v>
      </c>
      <c r="R1402" s="204" t="s">
        <v>1379</v>
      </c>
      <c r="U1402" s="56" t="s">
        <v>1530</v>
      </c>
    </row>
    <row r="1403" spans="1:21" ht="14.1" customHeight="1" x14ac:dyDescent="0.2">
      <c r="A1403" s="94"/>
      <c r="B1403" s="95">
        <v>55</v>
      </c>
      <c r="C1403" s="96" t="s">
        <v>431</v>
      </c>
      <c r="D1403" s="43">
        <v>22096</v>
      </c>
      <c r="E1403" s="71"/>
      <c r="F1403" s="98">
        <f t="shared" si="793"/>
        <v>22096</v>
      </c>
      <c r="G1403" s="98"/>
      <c r="H1403" s="98">
        <f t="shared" ref="H1403" si="805">+G1403+F1403</f>
        <v>22096</v>
      </c>
      <c r="I1403" s="97">
        <v>11492</v>
      </c>
      <c r="J1403" s="99">
        <v>23608</v>
      </c>
      <c r="K1403" s="99">
        <f t="shared" ref="K1403" si="806">+K1404</f>
        <v>-3000</v>
      </c>
      <c r="L1403" s="231">
        <f>+L1404+L1405+L1406</f>
        <v>20608</v>
      </c>
      <c r="M1403" s="231">
        <f t="shared" ref="M1403:N1403" si="807">+M1404+M1405+M1406</f>
        <v>0</v>
      </c>
      <c r="N1403" s="231">
        <f t="shared" si="807"/>
        <v>20608</v>
      </c>
      <c r="O1403" s="231">
        <f t="shared" ref="O1403" si="808">+O1404+O1405+O1406</f>
        <v>16967</v>
      </c>
      <c r="P1403" s="231">
        <f>+P1404+P1405+P1406+P1407</f>
        <v>30880</v>
      </c>
      <c r="Q1403" s="87">
        <f t="shared" si="789"/>
        <v>0.49844720496894412</v>
      </c>
      <c r="R1403" s="206"/>
    </row>
    <row r="1404" spans="1:21" ht="14.1" customHeight="1" x14ac:dyDescent="0.2">
      <c r="A1404" s="94"/>
      <c r="B1404" s="90">
        <v>5511</v>
      </c>
      <c r="C1404" s="103" t="s">
        <v>110</v>
      </c>
      <c r="D1404" s="102">
        <v>22096</v>
      </c>
      <c r="E1404" s="71"/>
      <c r="F1404" s="74">
        <f t="shared" si="793"/>
        <v>22096</v>
      </c>
      <c r="G1404" s="74"/>
      <c r="H1404" s="74"/>
      <c r="I1404" s="71"/>
      <c r="J1404" s="73"/>
      <c r="K1404" s="74">
        <v>-3000</v>
      </c>
      <c r="L1404" s="74">
        <v>0</v>
      </c>
      <c r="M1404" s="74"/>
      <c r="N1404" s="74">
        <f t="shared" ref="N1404:N1405" si="809">+M1404+L1404</f>
        <v>0</v>
      </c>
      <c r="O1404" s="74">
        <v>41</v>
      </c>
      <c r="P1404" s="67">
        <v>200</v>
      </c>
      <c r="Q1404" s="87" t="e">
        <f t="shared" si="789"/>
        <v>#DIV/0!</v>
      </c>
      <c r="R1404" s="206"/>
    </row>
    <row r="1405" spans="1:21" ht="14.1" customHeight="1" x14ac:dyDescent="0.2">
      <c r="A1405" s="94"/>
      <c r="B1405" s="90">
        <v>5515</v>
      </c>
      <c r="C1405" s="72" t="s">
        <v>133</v>
      </c>
      <c r="D1405" s="102"/>
      <c r="E1405" s="71"/>
      <c r="F1405" s="74"/>
      <c r="G1405" s="74"/>
      <c r="H1405" s="74"/>
      <c r="I1405" s="71"/>
      <c r="J1405" s="73"/>
      <c r="K1405" s="73"/>
      <c r="L1405" s="73">
        <v>0</v>
      </c>
      <c r="M1405" s="73"/>
      <c r="N1405" s="74">
        <f t="shared" si="809"/>
        <v>0</v>
      </c>
      <c r="O1405" s="74">
        <v>1202</v>
      </c>
      <c r="P1405" s="67">
        <v>5500</v>
      </c>
      <c r="Q1405" s="87" t="e">
        <f t="shared" si="789"/>
        <v>#DIV/0!</v>
      </c>
      <c r="R1405" s="206" t="s">
        <v>1030</v>
      </c>
    </row>
    <row r="1406" spans="1:21" ht="14.1" customHeight="1" x14ac:dyDescent="0.2">
      <c r="A1406" s="94"/>
      <c r="B1406" s="90">
        <v>5521</v>
      </c>
      <c r="C1406" s="72" t="s">
        <v>263</v>
      </c>
      <c r="D1406" s="102">
        <v>22096</v>
      </c>
      <c r="E1406" s="71"/>
      <c r="F1406" s="74">
        <f t="shared" ref="F1406" si="810">+E1406+D1406</f>
        <v>22096</v>
      </c>
      <c r="G1406" s="74"/>
      <c r="H1406" s="74">
        <f t="shared" ref="H1406" si="811">+G1406+F1406</f>
        <v>22096</v>
      </c>
      <c r="I1406" s="71">
        <v>11492</v>
      </c>
      <c r="J1406" s="73">
        <v>23608</v>
      </c>
      <c r="K1406" s="74">
        <v>-3000</v>
      </c>
      <c r="L1406" s="74">
        <f>+K1406+J1406</f>
        <v>20608</v>
      </c>
      <c r="M1406" s="74"/>
      <c r="N1406" s="74">
        <f t="shared" ref="N1406" si="812">+M1406+L1406</f>
        <v>20608</v>
      </c>
      <c r="O1406" s="74">
        <v>15724</v>
      </c>
      <c r="P1406" s="67">
        <v>25000</v>
      </c>
      <c r="Q1406" s="87">
        <f t="shared" si="789"/>
        <v>0.21312111801242237</v>
      </c>
      <c r="R1406" s="206"/>
      <c r="S1406" s="56" t="s">
        <v>1380</v>
      </c>
    </row>
    <row r="1407" spans="1:21" ht="14.1" customHeight="1" x14ac:dyDescent="0.2">
      <c r="A1407" s="94"/>
      <c r="B1407" s="90">
        <v>5532</v>
      </c>
      <c r="C1407" s="56" t="s">
        <v>434</v>
      </c>
      <c r="D1407" s="102"/>
      <c r="E1407" s="71"/>
      <c r="F1407" s="74"/>
      <c r="G1407" s="74"/>
      <c r="H1407" s="74"/>
      <c r="I1407" s="71"/>
      <c r="J1407" s="73"/>
      <c r="K1407" s="73"/>
      <c r="L1407" s="73"/>
      <c r="M1407" s="73"/>
      <c r="N1407" s="73"/>
      <c r="O1407" s="73"/>
      <c r="P1407" s="67">
        <v>180</v>
      </c>
      <c r="Q1407" s="87"/>
      <c r="R1407" s="206"/>
    </row>
    <row r="1408" spans="1:21" ht="14.1" customHeight="1" x14ac:dyDescent="0.2">
      <c r="A1408" s="247" t="s">
        <v>436</v>
      </c>
      <c r="B1408" s="147"/>
      <c r="C1408" s="148" t="s">
        <v>437</v>
      </c>
      <c r="D1408" s="149">
        <v>99500</v>
      </c>
      <c r="E1408" s="150"/>
      <c r="F1408" s="137">
        <f t="shared" si="793"/>
        <v>99500</v>
      </c>
      <c r="G1408" s="137">
        <f>+G1409</f>
        <v>-4000</v>
      </c>
      <c r="H1408" s="137">
        <f>+H1409+H1410</f>
        <v>95500</v>
      </c>
      <c r="I1408" s="151">
        <f>+I1409+I1410</f>
        <v>75664</v>
      </c>
      <c r="J1408" s="152">
        <f>+J1409+J1410</f>
        <v>93050</v>
      </c>
      <c r="K1408" s="152">
        <f>+K1409+K1410</f>
        <v>-500</v>
      </c>
      <c r="L1408" s="152">
        <f t="shared" ref="L1408:N1408" si="813">+L1409+L1410</f>
        <v>92550</v>
      </c>
      <c r="M1408" s="152">
        <f t="shared" si="813"/>
        <v>0</v>
      </c>
      <c r="N1408" s="152">
        <f t="shared" si="813"/>
        <v>92550</v>
      </c>
      <c r="O1408" s="152">
        <f t="shared" ref="O1408:P1408" si="814">+O1409+O1410</f>
        <v>81149</v>
      </c>
      <c r="P1408" s="152">
        <f t="shared" si="814"/>
        <v>135481</v>
      </c>
      <c r="Q1408" s="87">
        <f t="shared" si="789"/>
        <v>0.46386817936250674</v>
      </c>
      <c r="R1408" s="203"/>
    </row>
    <row r="1409" spans="1:18" ht="14.1" customHeight="1" x14ac:dyDescent="0.2">
      <c r="A1409" s="94"/>
      <c r="B1409" s="95">
        <v>50</v>
      </c>
      <c r="C1409" s="96" t="s">
        <v>102</v>
      </c>
      <c r="D1409" s="43">
        <v>72000</v>
      </c>
      <c r="E1409" s="71"/>
      <c r="F1409" s="98">
        <f t="shared" si="793"/>
        <v>72000</v>
      </c>
      <c r="G1409" s="98">
        <v>-4000</v>
      </c>
      <c r="H1409" s="98">
        <f>+G1409+F1409</f>
        <v>68000</v>
      </c>
      <c r="I1409" s="97">
        <v>53170</v>
      </c>
      <c r="J1409" s="99">
        <v>64650</v>
      </c>
      <c r="K1409" s="98">
        <v>0</v>
      </c>
      <c r="L1409" s="182">
        <f>+K1409+J1409</f>
        <v>64650</v>
      </c>
      <c r="M1409" s="182"/>
      <c r="N1409" s="182">
        <f t="shared" ref="N1409" si="815">+M1409+L1409</f>
        <v>64650</v>
      </c>
      <c r="O1409" s="182">
        <v>57055</v>
      </c>
      <c r="P1409" s="78">
        <v>85940</v>
      </c>
      <c r="Q1409" s="87">
        <f t="shared" si="789"/>
        <v>0.32931167826759472</v>
      </c>
      <c r="R1409" s="204" t="s">
        <v>1101</v>
      </c>
    </row>
    <row r="1410" spans="1:18" ht="14.1" customHeight="1" x14ac:dyDescent="0.2">
      <c r="A1410" s="94"/>
      <c r="B1410" s="95">
        <v>55</v>
      </c>
      <c r="C1410" s="96" t="s">
        <v>431</v>
      </c>
      <c r="D1410" s="43">
        <v>27500</v>
      </c>
      <c r="E1410" s="71"/>
      <c r="F1410" s="98">
        <f t="shared" si="793"/>
        <v>27500</v>
      </c>
      <c r="G1410" s="98"/>
      <c r="H1410" s="98">
        <f t="shared" ref="H1410:H1425" si="816">+G1410+F1410</f>
        <v>27500</v>
      </c>
      <c r="I1410" s="97">
        <f>+I1411+I1412+I1423+I1424+I1425</f>
        <v>22494</v>
      </c>
      <c r="J1410" s="99">
        <f>+J1411+J1412+J1423+J1424+J1425</f>
        <v>28400</v>
      </c>
      <c r="K1410" s="99">
        <f>+K1411+K1412+K1423+K1424+K1425</f>
        <v>-500</v>
      </c>
      <c r="L1410" s="170">
        <f>+L1411+L1412+L1423+L1424+L1425</f>
        <v>27900</v>
      </c>
      <c r="M1410" s="170">
        <f t="shared" ref="M1410:N1410" si="817">+M1411+M1412+M1423+M1424+M1425</f>
        <v>0</v>
      </c>
      <c r="N1410" s="170">
        <f t="shared" si="817"/>
        <v>27900</v>
      </c>
      <c r="O1410" s="170">
        <f t="shared" ref="O1410" si="818">+O1411+O1412+O1423+O1424+O1425</f>
        <v>24094</v>
      </c>
      <c r="P1410" s="170">
        <f t="shared" ref="P1410" si="819">+P1411+P1412+P1423+P1424+P1425</f>
        <v>49541</v>
      </c>
      <c r="Q1410" s="87">
        <f t="shared" si="789"/>
        <v>0.775663082437276</v>
      </c>
      <c r="R1410" s="203"/>
    </row>
    <row r="1411" spans="1:18" ht="14.1" customHeight="1" x14ac:dyDescent="0.2">
      <c r="A1411" s="89"/>
      <c r="B1411" s="90">
        <v>5500</v>
      </c>
      <c r="C1411" s="103" t="s">
        <v>115</v>
      </c>
      <c r="D1411" s="102">
        <v>0</v>
      </c>
      <c r="E1411" s="71"/>
      <c r="F1411" s="74">
        <f t="shared" si="793"/>
        <v>0</v>
      </c>
      <c r="G1411" s="74"/>
      <c r="H1411" s="74">
        <f t="shared" si="816"/>
        <v>0</v>
      </c>
      <c r="I1411" s="71">
        <v>11</v>
      </c>
      <c r="J1411" s="73">
        <v>0</v>
      </c>
      <c r="K1411" s="74"/>
      <c r="L1411" s="74">
        <v>0</v>
      </c>
      <c r="M1411" s="74"/>
      <c r="N1411" s="74">
        <f>+L1411+M1411</f>
        <v>0</v>
      </c>
      <c r="O1411" s="74">
        <v>12</v>
      </c>
      <c r="P1411" s="67">
        <v>20</v>
      </c>
      <c r="Q1411" s="87" t="e">
        <f t="shared" si="789"/>
        <v>#DIV/0!</v>
      </c>
      <c r="R1411" s="203"/>
    </row>
    <row r="1412" spans="1:18" ht="14.1" customHeight="1" x14ac:dyDescent="0.2">
      <c r="A1412" s="94"/>
      <c r="B1412" s="90" t="s">
        <v>119</v>
      </c>
      <c r="C1412" s="72" t="s">
        <v>110</v>
      </c>
      <c r="D1412" s="102">
        <v>23400</v>
      </c>
      <c r="E1412" s="71"/>
      <c r="F1412" s="74">
        <f t="shared" si="793"/>
        <v>23400</v>
      </c>
      <c r="G1412" s="74"/>
      <c r="H1412" s="74">
        <f t="shared" si="816"/>
        <v>23400</v>
      </c>
      <c r="I1412" s="71">
        <f>+I1413+I1414+I1415+I1417+I1418+I1419+I1420+I1421</f>
        <v>22417</v>
      </c>
      <c r="J1412" s="73">
        <f>+J1413+J1414+J1415+J1417+J1418+J1419+J1420+J1421</f>
        <v>24300</v>
      </c>
      <c r="K1412" s="74"/>
      <c r="L1412" s="74">
        <f>SUM(L1413:L1421)</f>
        <v>24300</v>
      </c>
      <c r="M1412" s="74">
        <f t="shared" ref="M1412:O1412" si="820">SUM(M1413:M1421)</f>
        <v>0</v>
      </c>
      <c r="N1412" s="74">
        <f t="shared" si="820"/>
        <v>24300</v>
      </c>
      <c r="O1412" s="74">
        <f t="shared" si="820"/>
        <v>23627</v>
      </c>
      <c r="P1412" s="67">
        <f>SUM(P1413:P1422)</f>
        <v>48521</v>
      </c>
      <c r="Q1412" s="87">
        <f t="shared" si="789"/>
        <v>0.99674897119341566</v>
      </c>
      <c r="R1412" s="206" t="s">
        <v>817</v>
      </c>
    </row>
    <row r="1413" spans="1:18" ht="14.1" customHeight="1" x14ac:dyDescent="0.2">
      <c r="A1413" s="94"/>
      <c r="B1413" s="185"/>
      <c r="C1413" s="154" t="s">
        <v>223</v>
      </c>
      <c r="D1413" s="102">
        <v>15600</v>
      </c>
      <c r="E1413" s="71"/>
      <c r="F1413" s="74">
        <f t="shared" si="793"/>
        <v>15600</v>
      </c>
      <c r="G1413" s="74"/>
      <c r="H1413" s="153">
        <f t="shared" si="816"/>
        <v>15600</v>
      </c>
      <c r="I1413" s="158">
        <v>7645</v>
      </c>
      <c r="J1413" s="159">
        <v>15600</v>
      </c>
      <c r="K1413" s="153"/>
      <c r="L1413" s="153">
        <v>15600</v>
      </c>
      <c r="M1413" s="153"/>
      <c r="N1413" s="153">
        <f>+L1413+M1413</f>
        <v>15600</v>
      </c>
      <c r="O1413" s="153">
        <v>6292</v>
      </c>
      <c r="P1413" s="155">
        <v>25000</v>
      </c>
      <c r="Q1413" s="87">
        <f t="shared" si="789"/>
        <v>0.60256410256410253</v>
      </c>
      <c r="R1413" s="206"/>
    </row>
    <row r="1414" spans="1:18" ht="14.1" customHeight="1" x14ac:dyDescent="0.2">
      <c r="A1414" s="94"/>
      <c r="B1414" s="185"/>
      <c r="C1414" s="154" t="s">
        <v>224</v>
      </c>
      <c r="D1414" s="157">
        <v>4500</v>
      </c>
      <c r="E1414" s="71"/>
      <c r="F1414" s="74">
        <f t="shared" si="793"/>
        <v>4500</v>
      </c>
      <c r="G1414" s="74"/>
      <c r="H1414" s="153">
        <f t="shared" si="816"/>
        <v>4500</v>
      </c>
      <c r="I1414" s="158">
        <v>5507</v>
      </c>
      <c r="J1414" s="159">
        <v>5400</v>
      </c>
      <c r="K1414" s="153"/>
      <c r="L1414" s="153">
        <v>5400</v>
      </c>
      <c r="M1414" s="153"/>
      <c r="N1414" s="153">
        <f t="shared" ref="N1414:N1421" si="821">+L1414+M1414</f>
        <v>5400</v>
      </c>
      <c r="O1414" s="153">
        <v>7016</v>
      </c>
      <c r="P1414" s="155">
        <v>12000</v>
      </c>
      <c r="Q1414" s="87">
        <f t="shared" si="789"/>
        <v>1.2222222222222223</v>
      </c>
      <c r="R1414" s="206"/>
    </row>
    <row r="1415" spans="1:18" ht="14.1" customHeight="1" x14ac:dyDescent="0.2">
      <c r="A1415" s="94"/>
      <c r="B1415" s="185"/>
      <c r="C1415" s="154" t="s">
        <v>225</v>
      </c>
      <c r="D1415" s="157">
        <v>2000</v>
      </c>
      <c r="E1415" s="71"/>
      <c r="F1415" s="74">
        <f t="shared" si="793"/>
        <v>2000</v>
      </c>
      <c r="G1415" s="74"/>
      <c r="H1415" s="153">
        <f t="shared" si="816"/>
        <v>2000</v>
      </c>
      <c r="I1415" s="158">
        <v>1540</v>
      </c>
      <c r="J1415" s="159">
        <v>2000</v>
      </c>
      <c r="K1415" s="153"/>
      <c r="L1415" s="153">
        <v>2000</v>
      </c>
      <c r="M1415" s="153"/>
      <c r="N1415" s="153">
        <f t="shared" si="821"/>
        <v>2000</v>
      </c>
      <c r="O1415" s="153">
        <v>2579</v>
      </c>
      <c r="P1415" s="155">
        <v>3000</v>
      </c>
      <c r="Q1415" s="87">
        <f t="shared" si="789"/>
        <v>0.5</v>
      </c>
      <c r="R1415" s="206"/>
    </row>
    <row r="1416" spans="1:18" ht="14.1" customHeight="1" x14ac:dyDescent="0.2">
      <c r="A1416" s="94"/>
      <c r="B1416" s="185"/>
      <c r="C1416" s="154" t="s">
        <v>226</v>
      </c>
      <c r="D1416" s="157"/>
      <c r="E1416" s="71"/>
      <c r="F1416" s="74"/>
      <c r="G1416" s="74"/>
      <c r="H1416" s="153"/>
      <c r="I1416" s="158"/>
      <c r="J1416" s="159"/>
      <c r="K1416" s="153"/>
      <c r="L1416" s="153"/>
      <c r="M1416" s="153"/>
      <c r="N1416" s="153"/>
      <c r="O1416" s="153">
        <v>6172</v>
      </c>
      <c r="P1416" s="155">
        <v>3000</v>
      </c>
      <c r="Q1416" s="87">
        <v>1</v>
      </c>
      <c r="R1416" s="206"/>
    </row>
    <row r="1417" spans="1:18" ht="14.1" customHeight="1" x14ac:dyDescent="0.2">
      <c r="A1417" s="94"/>
      <c r="B1417" s="185"/>
      <c r="C1417" s="154" t="s">
        <v>438</v>
      </c>
      <c r="D1417" s="157">
        <v>0</v>
      </c>
      <c r="E1417" s="71"/>
      <c r="F1417" s="74">
        <f t="shared" si="793"/>
        <v>0</v>
      </c>
      <c r="G1417" s="74"/>
      <c r="H1417" s="153">
        <f t="shared" si="816"/>
        <v>0</v>
      </c>
      <c r="I1417" s="158">
        <v>5072</v>
      </c>
      <c r="J1417" s="159"/>
      <c r="K1417" s="153"/>
      <c r="L1417" s="153"/>
      <c r="M1417" s="153"/>
      <c r="N1417" s="153">
        <f t="shared" si="821"/>
        <v>0</v>
      </c>
      <c r="O1417" s="153"/>
      <c r="P1417" s="155">
        <f>+M1417+N1417</f>
        <v>0</v>
      </c>
      <c r="Q1417" s="87"/>
      <c r="R1417" s="206"/>
    </row>
    <row r="1418" spans="1:18" ht="14.1" customHeight="1" x14ac:dyDescent="0.2">
      <c r="A1418" s="94"/>
      <c r="B1418" s="185"/>
      <c r="C1418" s="154" t="s">
        <v>227</v>
      </c>
      <c r="D1418" s="157">
        <v>500</v>
      </c>
      <c r="E1418" s="71"/>
      <c r="F1418" s="74">
        <f t="shared" si="793"/>
        <v>500</v>
      </c>
      <c r="G1418" s="74"/>
      <c r="H1418" s="153">
        <f t="shared" si="816"/>
        <v>500</v>
      </c>
      <c r="I1418" s="158">
        <v>370</v>
      </c>
      <c r="J1418" s="159">
        <v>500</v>
      </c>
      <c r="K1418" s="153"/>
      <c r="L1418" s="153">
        <v>500</v>
      </c>
      <c r="M1418" s="153"/>
      <c r="N1418" s="153">
        <f t="shared" si="821"/>
        <v>500</v>
      </c>
      <c r="O1418" s="153">
        <v>471</v>
      </c>
      <c r="P1418" s="155">
        <v>2100</v>
      </c>
      <c r="Q1418" s="87">
        <f t="shared" si="789"/>
        <v>3.2</v>
      </c>
      <c r="R1418" s="206" t="s">
        <v>1100</v>
      </c>
    </row>
    <row r="1419" spans="1:18" ht="14.1" customHeight="1" x14ac:dyDescent="0.2">
      <c r="A1419" s="94"/>
      <c r="B1419" s="185"/>
      <c r="C1419" s="154" t="s">
        <v>228</v>
      </c>
      <c r="D1419" s="157">
        <v>600</v>
      </c>
      <c r="E1419" s="71"/>
      <c r="F1419" s="74">
        <f t="shared" si="793"/>
        <v>600</v>
      </c>
      <c r="G1419" s="74"/>
      <c r="H1419" s="153">
        <f t="shared" si="816"/>
        <v>600</v>
      </c>
      <c r="I1419" s="158">
        <v>897</v>
      </c>
      <c r="J1419" s="159">
        <v>600</v>
      </c>
      <c r="K1419" s="153"/>
      <c r="L1419" s="153">
        <v>600</v>
      </c>
      <c r="M1419" s="153"/>
      <c r="N1419" s="153">
        <f t="shared" si="821"/>
        <v>600</v>
      </c>
      <c r="O1419" s="153">
        <v>876</v>
      </c>
      <c r="P1419" s="155">
        <v>1000</v>
      </c>
      <c r="Q1419" s="87">
        <f t="shared" si="789"/>
        <v>0.66666666666666663</v>
      </c>
      <c r="R1419" s="206"/>
    </row>
    <row r="1420" spans="1:18" ht="14.1" customHeight="1" x14ac:dyDescent="0.2">
      <c r="A1420" s="94"/>
      <c r="B1420" s="185"/>
      <c r="C1420" s="154" t="s">
        <v>439</v>
      </c>
      <c r="D1420" s="157">
        <v>0</v>
      </c>
      <c r="E1420" s="71"/>
      <c r="F1420" s="74">
        <f t="shared" si="793"/>
        <v>0</v>
      </c>
      <c r="G1420" s="74"/>
      <c r="H1420" s="153">
        <f t="shared" si="816"/>
        <v>0</v>
      </c>
      <c r="I1420" s="158">
        <v>1386</v>
      </c>
      <c r="J1420" s="159"/>
      <c r="K1420" s="153"/>
      <c r="L1420" s="153"/>
      <c r="M1420" s="153"/>
      <c r="N1420" s="153">
        <f t="shared" si="821"/>
        <v>0</v>
      </c>
      <c r="O1420" s="153"/>
      <c r="P1420" s="155">
        <v>2000</v>
      </c>
      <c r="Q1420" s="87">
        <v>1</v>
      </c>
      <c r="R1420" s="206"/>
    </row>
    <row r="1421" spans="1:18" ht="14.1" customHeight="1" x14ac:dyDescent="0.2">
      <c r="A1421" s="94"/>
      <c r="B1421" s="185"/>
      <c r="C1421" s="154" t="s">
        <v>231</v>
      </c>
      <c r="D1421" s="157">
        <v>200</v>
      </c>
      <c r="E1421" s="71"/>
      <c r="F1421" s="74">
        <f t="shared" si="793"/>
        <v>200</v>
      </c>
      <c r="G1421" s="74"/>
      <c r="H1421" s="153">
        <f t="shared" si="816"/>
        <v>200</v>
      </c>
      <c r="I1421" s="158"/>
      <c r="J1421" s="159">
        <v>200</v>
      </c>
      <c r="K1421" s="153"/>
      <c r="L1421" s="153">
        <v>200</v>
      </c>
      <c r="M1421" s="153"/>
      <c r="N1421" s="153">
        <f t="shared" si="821"/>
        <v>200</v>
      </c>
      <c r="O1421" s="153">
        <v>221</v>
      </c>
      <c r="P1421" s="155">
        <v>221</v>
      </c>
      <c r="Q1421" s="87">
        <f t="shared" si="789"/>
        <v>0.105</v>
      </c>
      <c r="R1421" s="206"/>
    </row>
    <row r="1422" spans="1:18" ht="14.1" customHeight="1" x14ac:dyDescent="0.2">
      <c r="A1422" s="94"/>
      <c r="B1422" s="185"/>
      <c r="C1422" s="154" t="s">
        <v>652</v>
      </c>
      <c r="D1422" s="157"/>
      <c r="E1422" s="71"/>
      <c r="F1422" s="74"/>
      <c r="G1422" s="74"/>
      <c r="H1422" s="153"/>
      <c r="I1422" s="158"/>
      <c r="J1422" s="159"/>
      <c r="K1422" s="153"/>
      <c r="L1422" s="153"/>
      <c r="M1422" s="153"/>
      <c r="N1422" s="153"/>
      <c r="O1422" s="153"/>
      <c r="P1422" s="155">
        <v>200</v>
      </c>
      <c r="Q1422" s="87"/>
      <c r="R1422" s="206"/>
    </row>
    <row r="1423" spans="1:18" ht="14.1" customHeight="1" x14ac:dyDescent="0.2">
      <c r="A1423" s="94"/>
      <c r="B1423" s="90">
        <v>5515</v>
      </c>
      <c r="C1423" s="72" t="s">
        <v>133</v>
      </c>
      <c r="D1423" s="102">
        <v>3000</v>
      </c>
      <c r="E1423" s="71"/>
      <c r="F1423" s="74">
        <f t="shared" si="793"/>
        <v>3000</v>
      </c>
      <c r="G1423" s="74"/>
      <c r="H1423" s="74">
        <f t="shared" si="816"/>
        <v>3000</v>
      </c>
      <c r="I1423" s="71"/>
      <c r="J1423" s="73">
        <v>3000</v>
      </c>
      <c r="K1423" s="74">
        <v>-500</v>
      </c>
      <c r="L1423" s="74">
        <f>+K1423+J1423</f>
        <v>2500</v>
      </c>
      <c r="M1423" s="74"/>
      <c r="N1423" s="74">
        <f t="shared" ref="N1423:N1425" si="822">+M1423+L1423</f>
        <v>2500</v>
      </c>
      <c r="O1423" s="74">
        <v>455</v>
      </c>
      <c r="P1423" s="67">
        <v>1000</v>
      </c>
      <c r="Q1423" s="87">
        <f t="shared" si="789"/>
        <v>-0.6</v>
      </c>
      <c r="R1423" s="204"/>
    </row>
    <row r="1424" spans="1:18" ht="14.1" customHeight="1" x14ac:dyDescent="0.2">
      <c r="A1424" s="94"/>
      <c r="B1424" s="90">
        <v>5516</v>
      </c>
      <c r="C1424" s="72" t="s">
        <v>440</v>
      </c>
      <c r="D1424" s="102">
        <v>0</v>
      </c>
      <c r="E1424" s="71"/>
      <c r="F1424" s="74">
        <f t="shared" si="793"/>
        <v>0</v>
      </c>
      <c r="G1424" s="74"/>
      <c r="H1424" s="74">
        <f t="shared" si="816"/>
        <v>0</v>
      </c>
      <c r="I1424" s="71">
        <v>66</v>
      </c>
      <c r="J1424" s="73"/>
      <c r="K1424" s="74"/>
      <c r="L1424" s="74"/>
      <c r="M1424" s="74"/>
      <c r="N1424" s="74">
        <f t="shared" si="822"/>
        <v>0</v>
      </c>
      <c r="O1424" s="74"/>
      <c r="P1424" s="67">
        <f>+N1424+M1424</f>
        <v>0</v>
      </c>
      <c r="Q1424" s="87" t="e">
        <f t="shared" si="789"/>
        <v>#DIV/0!</v>
      </c>
      <c r="R1424" s="204"/>
    </row>
    <row r="1425" spans="1:19" ht="14.1" customHeight="1" x14ac:dyDescent="0.2">
      <c r="A1425" s="94"/>
      <c r="B1425" s="90">
        <v>5540</v>
      </c>
      <c r="C1425" s="72" t="s">
        <v>193</v>
      </c>
      <c r="D1425" s="102">
        <v>1100</v>
      </c>
      <c r="E1425" s="71"/>
      <c r="F1425" s="74">
        <f t="shared" si="793"/>
        <v>1100</v>
      </c>
      <c r="G1425" s="74"/>
      <c r="H1425" s="74">
        <f t="shared" si="816"/>
        <v>1100</v>
      </c>
      <c r="I1425" s="71"/>
      <c r="J1425" s="73">
        <v>1100</v>
      </c>
      <c r="K1425" s="74"/>
      <c r="L1425" s="74">
        <v>1100</v>
      </c>
      <c r="M1425" s="74"/>
      <c r="N1425" s="74">
        <f t="shared" si="822"/>
        <v>1100</v>
      </c>
      <c r="O1425" s="74"/>
      <c r="P1425" s="67">
        <v>0</v>
      </c>
      <c r="Q1425" s="87">
        <f t="shared" si="789"/>
        <v>-1</v>
      </c>
      <c r="R1425" s="204"/>
    </row>
    <row r="1426" spans="1:19" ht="14.1" customHeight="1" x14ac:dyDescent="0.2">
      <c r="A1426" s="164" t="s">
        <v>441</v>
      </c>
      <c r="B1426" s="147"/>
      <c r="C1426" s="148" t="s">
        <v>442</v>
      </c>
      <c r="D1426" s="149">
        <v>1500</v>
      </c>
      <c r="E1426" s="150"/>
      <c r="F1426" s="137">
        <f t="shared" si="793"/>
        <v>1500</v>
      </c>
      <c r="G1426" s="137">
        <v>0</v>
      </c>
      <c r="H1426" s="137">
        <f>+H1427</f>
        <v>1500</v>
      </c>
      <c r="I1426" s="151">
        <f>+I1427</f>
        <v>1996</v>
      </c>
      <c r="J1426" s="152">
        <f>+J1427</f>
        <v>1500</v>
      </c>
      <c r="K1426" s="137"/>
      <c r="L1426" s="137">
        <f>+L1427</f>
        <v>1500</v>
      </c>
      <c r="M1426" s="137">
        <f t="shared" ref="M1426:P1426" si="823">+M1427</f>
        <v>0</v>
      </c>
      <c r="N1426" s="137">
        <f t="shared" si="823"/>
        <v>1500</v>
      </c>
      <c r="O1426" s="137">
        <f t="shared" si="823"/>
        <v>1630</v>
      </c>
      <c r="P1426" s="137">
        <f t="shared" si="823"/>
        <v>0</v>
      </c>
      <c r="Q1426" s="87">
        <f t="shared" si="789"/>
        <v>-1</v>
      </c>
      <c r="R1426" s="203"/>
    </row>
    <row r="1427" spans="1:19" ht="14.1" customHeight="1" x14ac:dyDescent="0.2">
      <c r="A1427" s="94"/>
      <c r="B1427" s="90">
        <v>4521</v>
      </c>
      <c r="C1427" s="72" t="s">
        <v>443</v>
      </c>
      <c r="D1427" s="102">
        <v>1500</v>
      </c>
      <c r="E1427" s="71"/>
      <c r="F1427" s="72">
        <v>1500</v>
      </c>
      <c r="G1427" s="72"/>
      <c r="H1427" s="72">
        <v>1500</v>
      </c>
      <c r="I1427" s="71">
        <v>1996</v>
      </c>
      <c r="J1427" s="73">
        <v>1500</v>
      </c>
      <c r="K1427" s="74"/>
      <c r="L1427" s="142">
        <v>1500</v>
      </c>
      <c r="M1427" s="142"/>
      <c r="N1427" s="142">
        <f>+L1427+M1427</f>
        <v>1500</v>
      </c>
      <c r="O1427" s="142">
        <v>1630</v>
      </c>
      <c r="P1427" s="142">
        <v>0</v>
      </c>
      <c r="Q1427" s="87">
        <f t="shared" si="789"/>
        <v>-1</v>
      </c>
      <c r="R1427" s="206" t="s">
        <v>1102</v>
      </c>
    </row>
    <row r="1428" spans="1:19" ht="14.1" customHeight="1" x14ac:dyDescent="0.2">
      <c r="A1428" s="146" t="s">
        <v>444</v>
      </c>
      <c r="B1428" s="147"/>
      <c r="C1428" s="148" t="s">
        <v>1562</v>
      </c>
      <c r="D1428" s="149">
        <v>40682</v>
      </c>
      <c r="E1428" s="150"/>
      <c r="F1428" s="137">
        <f t="shared" ref="F1428:F1468" si="824">+E1428+D1428</f>
        <v>40682</v>
      </c>
      <c r="G1428" s="137">
        <v>0</v>
      </c>
      <c r="H1428" s="137">
        <f>+H1429+H1430</f>
        <v>40682</v>
      </c>
      <c r="I1428" s="151">
        <f>+I1429+I1430</f>
        <v>27421</v>
      </c>
      <c r="J1428" s="152">
        <f>+J1429+J1430</f>
        <v>34205</v>
      </c>
      <c r="K1428" s="152">
        <f t="shared" ref="K1428:L1428" si="825">+K1429+K1430</f>
        <v>0</v>
      </c>
      <c r="L1428" s="152">
        <f t="shared" si="825"/>
        <v>34205</v>
      </c>
      <c r="M1428" s="152">
        <f t="shared" ref="M1428:N1428" si="826">+M1429+M1430</f>
        <v>0</v>
      </c>
      <c r="N1428" s="152">
        <f t="shared" si="826"/>
        <v>34205</v>
      </c>
      <c r="O1428" s="152">
        <f t="shared" ref="O1428:P1428" si="827">+O1429+O1430</f>
        <v>29106</v>
      </c>
      <c r="P1428" s="152">
        <f t="shared" si="827"/>
        <v>39665</v>
      </c>
      <c r="Q1428" s="87">
        <f t="shared" si="789"/>
        <v>0.15962578570384447</v>
      </c>
      <c r="R1428" s="203"/>
      <c r="S1428" s="226" t="s">
        <v>713</v>
      </c>
    </row>
    <row r="1429" spans="1:19" ht="14.1" customHeight="1" x14ac:dyDescent="0.2">
      <c r="A1429" s="94"/>
      <c r="B1429" s="95">
        <v>50</v>
      </c>
      <c r="C1429" s="96" t="s">
        <v>102</v>
      </c>
      <c r="D1429" s="43">
        <v>37732</v>
      </c>
      <c r="E1429" s="71"/>
      <c r="F1429" s="98">
        <f t="shared" si="824"/>
        <v>37732</v>
      </c>
      <c r="G1429" s="98"/>
      <c r="H1429" s="98">
        <f>+G1429+F1429</f>
        <v>37732</v>
      </c>
      <c r="I1429" s="97">
        <v>26394</v>
      </c>
      <c r="J1429" s="99">
        <v>30105</v>
      </c>
      <c r="K1429" s="98"/>
      <c r="L1429" s="182">
        <v>30105</v>
      </c>
      <c r="M1429" s="182"/>
      <c r="N1429" s="182">
        <f>+L1429+M1429</f>
        <v>30105</v>
      </c>
      <c r="O1429" s="182">
        <v>26678</v>
      </c>
      <c r="P1429" s="78">
        <v>32915</v>
      </c>
      <c r="Q1429" s="87">
        <f t="shared" si="789"/>
        <v>9.3339976748048503E-2</v>
      </c>
      <c r="R1429" s="204" t="s">
        <v>1029</v>
      </c>
    </row>
    <row r="1430" spans="1:19" ht="14.1" customHeight="1" x14ac:dyDescent="0.2">
      <c r="A1430" s="94"/>
      <c r="B1430" s="95">
        <v>55</v>
      </c>
      <c r="C1430" s="96" t="s">
        <v>104</v>
      </c>
      <c r="D1430" s="43">
        <v>2950</v>
      </c>
      <c r="E1430" s="71"/>
      <c r="F1430" s="98">
        <f t="shared" si="824"/>
        <v>2950</v>
      </c>
      <c r="G1430" s="98"/>
      <c r="H1430" s="98">
        <f t="shared" ref="H1430:H1441" si="828">+G1430+F1430</f>
        <v>2950</v>
      </c>
      <c r="I1430" s="97">
        <f>+I1431+I1432+I1433+I1435+I1437+I1438+I1439+I1440+I1441</f>
        <v>1027</v>
      </c>
      <c r="J1430" s="99">
        <f>SUM(J1431:J1441)</f>
        <v>4100</v>
      </c>
      <c r="K1430" s="98"/>
      <c r="L1430" s="170">
        <f>+L1431+L1432+L1433+L1435+L1437+L1438+L1439+L1440+L1441</f>
        <v>4100</v>
      </c>
      <c r="M1430" s="170">
        <f t="shared" ref="M1430:N1430" si="829">+M1431+M1432+M1433+M1435+M1437+M1438+M1439+M1440+M1441</f>
        <v>0</v>
      </c>
      <c r="N1430" s="170">
        <f t="shared" si="829"/>
        <v>4100</v>
      </c>
      <c r="O1430" s="170">
        <f>+O1431+O1432+O1433+O1435+O1437+O1438+O1439+O1440+O1441+O1436</f>
        <v>2428</v>
      </c>
      <c r="P1430" s="170">
        <f>+P1431+P1432+P1433+P1435+P1437+P1438+P1439+P1440+P1441+P1436</f>
        <v>6750</v>
      </c>
      <c r="Q1430" s="87">
        <f t="shared" si="789"/>
        <v>0.64634146341463417</v>
      </c>
      <c r="R1430" s="203"/>
    </row>
    <row r="1431" spans="1:19" ht="14.1" customHeight="1" x14ac:dyDescent="0.2">
      <c r="A1431" s="94"/>
      <c r="B1431" s="90">
        <v>5500</v>
      </c>
      <c r="C1431" s="103" t="s">
        <v>115</v>
      </c>
      <c r="D1431" s="102">
        <v>0</v>
      </c>
      <c r="E1431" s="71"/>
      <c r="F1431" s="74">
        <f t="shared" si="824"/>
        <v>0</v>
      </c>
      <c r="G1431" s="74"/>
      <c r="H1431" s="74">
        <f t="shared" si="828"/>
        <v>0</v>
      </c>
      <c r="I1431" s="71">
        <v>2</v>
      </c>
      <c r="J1431" s="73"/>
      <c r="K1431" s="74"/>
      <c r="L1431" s="74"/>
      <c r="M1431" s="74"/>
      <c r="N1431" s="74">
        <f>+L1431+M1431</f>
        <v>0</v>
      </c>
      <c r="O1431" s="74"/>
      <c r="P1431" s="67">
        <v>0</v>
      </c>
      <c r="Q1431" s="87"/>
      <c r="R1431" s="203"/>
    </row>
    <row r="1432" spans="1:19" ht="14.1" customHeight="1" x14ac:dyDescent="0.2">
      <c r="A1432" s="94"/>
      <c r="B1432" s="90">
        <v>5504</v>
      </c>
      <c r="C1432" s="72" t="s">
        <v>245</v>
      </c>
      <c r="D1432" s="102">
        <v>300</v>
      </c>
      <c r="E1432" s="71"/>
      <c r="F1432" s="74">
        <f t="shared" si="824"/>
        <v>300</v>
      </c>
      <c r="G1432" s="74"/>
      <c r="H1432" s="74">
        <f t="shared" si="828"/>
        <v>300</v>
      </c>
      <c r="I1432" s="71"/>
      <c r="J1432" s="73">
        <v>300</v>
      </c>
      <c r="K1432" s="74"/>
      <c r="L1432" s="74">
        <v>300</v>
      </c>
      <c r="M1432" s="74"/>
      <c r="N1432" s="74">
        <f t="shared" ref="N1432:N1441" si="830">+L1432+M1432</f>
        <v>300</v>
      </c>
      <c r="O1432" s="74">
        <v>165</v>
      </c>
      <c r="P1432" s="67">
        <v>300</v>
      </c>
      <c r="Q1432" s="87">
        <f t="shared" si="789"/>
        <v>0</v>
      </c>
      <c r="R1432" s="203"/>
    </row>
    <row r="1433" spans="1:19" ht="14.1" customHeight="1" x14ac:dyDescent="0.2">
      <c r="A1433" s="94"/>
      <c r="B1433" s="90">
        <v>5511</v>
      </c>
      <c r="C1433" s="72" t="s">
        <v>110</v>
      </c>
      <c r="D1433" s="102">
        <v>0</v>
      </c>
      <c r="E1433" s="71"/>
      <c r="F1433" s="74">
        <f t="shared" si="824"/>
        <v>0</v>
      </c>
      <c r="G1433" s="74"/>
      <c r="H1433" s="74">
        <f t="shared" si="828"/>
        <v>0</v>
      </c>
      <c r="I1433" s="71">
        <v>155</v>
      </c>
      <c r="J1433" s="73"/>
      <c r="K1433" s="74"/>
      <c r="L1433" s="74"/>
      <c r="M1433" s="74"/>
      <c r="N1433" s="74">
        <f t="shared" si="830"/>
        <v>0</v>
      </c>
      <c r="O1433" s="74">
        <f>O1434</f>
        <v>870</v>
      </c>
      <c r="P1433" s="67">
        <f>P1434</f>
        <v>200</v>
      </c>
      <c r="Q1433" s="87">
        <v>1</v>
      </c>
      <c r="R1433" s="203"/>
    </row>
    <row r="1434" spans="1:19" ht="14.1" customHeight="1" x14ac:dyDescent="0.2">
      <c r="A1434" s="94"/>
      <c r="B1434" s="90"/>
      <c r="C1434" s="154" t="s">
        <v>226</v>
      </c>
      <c r="D1434" s="102"/>
      <c r="E1434" s="71"/>
      <c r="F1434" s="74"/>
      <c r="G1434" s="74"/>
      <c r="H1434" s="74"/>
      <c r="I1434" s="71"/>
      <c r="J1434" s="73"/>
      <c r="K1434" s="74"/>
      <c r="L1434" s="74"/>
      <c r="M1434" s="74"/>
      <c r="N1434" s="153"/>
      <c r="O1434" s="153">
        <v>870</v>
      </c>
      <c r="P1434" s="217">
        <v>200</v>
      </c>
      <c r="Q1434" s="87"/>
      <c r="R1434" s="206" t="s">
        <v>1420</v>
      </c>
    </row>
    <row r="1435" spans="1:19" ht="14.1" customHeight="1" x14ac:dyDescent="0.2">
      <c r="A1435" s="94"/>
      <c r="B1435" s="90">
        <v>5513</v>
      </c>
      <c r="C1435" s="72" t="s">
        <v>407</v>
      </c>
      <c r="D1435" s="102">
        <v>100</v>
      </c>
      <c r="E1435" s="71"/>
      <c r="F1435" s="74">
        <f t="shared" si="824"/>
        <v>100</v>
      </c>
      <c r="G1435" s="74"/>
      <c r="H1435" s="74">
        <f t="shared" si="828"/>
        <v>100</v>
      </c>
      <c r="I1435" s="71">
        <v>0</v>
      </c>
      <c r="J1435" s="73">
        <v>100</v>
      </c>
      <c r="K1435" s="74"/>
      <c r="L1435" s="74">
        <v>100</v>
      </c>
      <c r="M1435" s="74"/>
      <c r="N1435" s="74">
        <f t="shared" si="830"/>
        <v>100</v>
      </c>
      <c r="O1435" s="74">
        <v>0</v>
      </c>
      <c r="P1435" s="67">
        <v>0</v>
      </c>
      <c r="Q1435" s="87">
        <f t="shared" si="789"/>
        <v>-1</v>
      </c>
      <c r="R1435" s="203"/>
    </row>
    <row r="1436" spans="1:19" ht="14.1" customHeight="1" x14ac:dyDescent="0.2">
      <c r="A1436" s="94"/>
      <c r="B1436" s="90">
        <v>5514</v>
      </c>
      <c r="C1436" s="72" t="s">
        <v>112</v>
      </c>
      <c r="D1436" s="102"/>
      <c r="E1436" s="71"/>
      <c r="F1436" s="74"/>
      <c r="G1436" s="74"/>
      <c r="H1436" s="74"/>
      <c r="I1436" s="71"/>
      <c r="J1436" s="73"/>
      <c r="K1436" s="74"/>
      <c r="L1436" s="74"/>
      <c r="M1436" s="74"/>
      <c r="N1436" s="74"/>
      <c r="O1436" s="74">
        <v>38</v>
      </c>
      <c r="P1436" s="67">
        <v>2200</v>
      </c>
      <c r="Q1436" s="87"/>
      <c r="R1436" s="203" t="s">
        <v>1031</v>
      </c>
    </row>
    <row r="1437" spans="1:19" ht="14.1" customHeight="1" x14ac:dyDescent="0.2">
      <c r="A1437" s="94"/>
      <c r="B1437" s="90">
        <v>5515</v>
      </c>
      <c r="C1437" s="72" t="s">
        <v>133</v>
      </c>
      <c r="D1437" s="102">
        <v>2100</v>
      </c>
      <c r="E1437" s="71"/>
      <c r="F1437" s="74">
        <f t="shared" si="824"/>
        <v>2100</v>
      </c>
      <c r="G1437" s="74"/>
      <c r="H1437" s="74">
        <f t="shared" si="828"/>
        <v>2100</v>
      </c>
      <c r="I1437" s="71">
        <v>552</v>
      </c>
      <c r="J1437" s="73">
        <v>3000</v>
      </c>
      <c r="K1437" s="74"/>
      <c r="L1437" s="74">
        <v>3000</v>
      </c>
      <c r="M1437" s="74"/>
      <c r="N1437" s="74">
        <f t="shared" si="830"/>
        <v>3000</v>
      </c>
      <c r="O1437" s="74">
        <v>1084</v>
      </c>
      <c r="P1437" s="67">
        <v>3000</v>
      </c>
      <c r="Q1437" s="87">
        <f t="shared" si="789"/>
        <v>0</v>
      </c>
      <c r="R1437" s="203" t="s">
        <v>1032</v>
      </c>
    </row>
    <row r="1438" spans="1:19" ht="14.1" customHeight="1" x14ac:dyDescent="0.2">
      <c r="A1438" s="94"/>
      <c r="B1438" s="52">
        <v>5522</v>
      </c>
      <c r="C1438" s="72" t="s">
        <v>137</v>
      </c>
      <c r="D1438" s="102">
        <v>0</v>
      </c>
      <c r="E1438" s="71"/>
      <c r="F1438" s="74">
        <f t="shared" si="824"/>
        <v>0</v>
      </c>
      <c r="G1438" s="74"/>
      <c r="H1438" s="74">
        <f t="shared" si="828"/>
        <v>0</v>
      </c>
      <c r="I1438" s="71">
        <v>123</v>
      </c>
      <c r="J1438" s="73"/>
      <c r="K1438" s="74"/>
      <c r="L1438" s="74"/>
      <c r="M1438" s="74"/>
      <c r="N1438" s="74">
        <f t="shared" si="830"/>
        <v>0</v>
      </c>
      <c r="O1438" s="74">
        <v>50</v>
      </c>
      <c r="P1438" s="67">
        <v>350</v>
      </c>
      <c r="Q1438" s="87" t="e">
        <f t="shared" si="789"/>
        <v>#DIV/0!</v>
      </c>
      <c r="R1438" s="203"/>
    </row>
    <row r="1439" spans="1:19" ht="14.1" customHeight="1" x14ac:dyDescent="0.2">
      <c r="A1439" s="94"/>
      <c r="B1439" s="90">
        <v>5524</v>
      </c>
      <c r="C1439" s="72" t="s">
        <v>240</v>
      </c>
      <c r="D1439" s="102">
        <v>100</v>
      </c>
      <c r="E1439" s="71"/>
      <c r="F1439" s="74">
        <f t="shared" si="824"/>
        <v>100</v>
      </c>
      <c r="G1439" s="74"/>
      <c r="H1439" s="74">
        <f t="shared" si="828"/>
        <v>100</v>
      </c>
      <c r="I1439" s="71"/>
      <c r="J1439" s="73">
        <v>250</v>
      </c>
      <c r="K1439" s="74"/>
      <c r="L1439" s="74">
        <v>250</v>
      </c>
      <c r="M1439" s="74"/>
      <c r="N1439" s="74">
        <f t="shared" si="830"/>
        <v>250</v>
      </c>
      <c r="O1439" s="74">
        <v>20</v>
      </c>
      <c r="P1439" s="67">
        <v>100</v>
      </c>
      <c r="Q1439" s="87">
        <f t="shared" si="789"/>
        <v>-0.6</v>
      </c>
      <c r="R1439" s="203"/>
    </row>
    <row r="1440" spans="1:19" ht="14.1" customHeight="1" x14ac:dyDescent="0.2">
      <c r="A1440" s="94"/>
      <c r="B1440" s="90">
        <v>5525</v>
      </c>
      <c r="C1440" s="72" t="s">
        <v>139</v>
      </c>
      <c r="D1440" s="102">
        <v>250</v>
      </c>
      <c r="E1440" s="71"/>
      <c r="F1440" s="74">
        <f t="shared" si="824"/>
        <v>250</v>
      </c>
      <c r="G1440" s="74"/>
      <c r="H1440" s="74">
        <f t="shared" si="828"/>
        <v>250</v>
      </c>
      <c r="I1440" s="71">
        <v>195</v>
      </c>
      <c r="J1440" s="73">
        <v>250</v>
      </c>
      <c r="K1440" s="74"/>
      <c r="L1440" s="74">
        <v>250</v>
      </c>
      <c r="M1440" s="74"/>
      <c r="N1440" s="74">
        <f t="shared" si="830"/>
        <v>250</v>
      </c>
      <c r="O1440" s="74">
        <v>201</v>
      </c>
      <c r="P1440" s="67">
        <v>400</v>
      </c>
      <c r="Q1440" s="87">
        <f t="shared" si="789"/>
        <v>0.6</v>
      </c>
      <c r="R1440" s="203"/>
    </row>
    <row r="1441" spans="1:18" ht="14.1" customHeight="1" x14ac:dyDescent="0.2">
      <c r="A1441" s="94"/>
      <c r="B1441" s="90">
        <v>5540</v>
      </c>
      <c r="C1441" s="72" t="s">
        <v>193</v>
      </c>
      <c r="D1441" s="102">
        <v>100</v>
      </c>
      <c r="E1441" s="71"/>
      <c r="F1441" s="74">
        <f t="shared" si="824"/>
        <v>100</v>
      </c>
      <c r="G1441" s="74"/>
      <c r="H1441" s="74">
        <f t="shared" si="828"/>
        <v>100</v>
      </c>
      <c r="I1441" s="71"/>
      <c r="J1441" s="73">
        <v>200</v>
      </c>
      <c r="K1441" s="74"/>
      <c r="L1441" s="74">
        <v>200</v>
      </c>
      <c r="M1441" s="74"/>
      <c r="N1441" s="74">
        <f t="shared" si="830"/>
        <v>200</v>
      </c>
      <c r="O1441" s="74"/>
      <c r="P1441" s="67">
        <v>200</v>
      </c>
      <c r="Q1441" s="87">
        <f t="shared" si="789"/>
        <v>0</v>
      </c>
      <c r="R1441" s="203"/>
    </row>
    <row r="1442" spans="1:18" ht="14.1" customHeight="1" x14ac:dyDescent="0.2">
      <c r="A1442" s="164" t="s">
        <v>1349</v>
      </c>
      <c r="B1442" s="147"/>
      <c r="C1442" s="148" t="s">
        <v>1350</v>
      </c>
      <c r="D1442" s="149">
        <v>40682</v>
      </c>
      <c r="E1442" s="150"/>
      <c r="F1442" s="137">
        <f t="shared" ref="F1442:F1444" si="831">+E1442+D1442</f>
        <v>40682</v>
      </c>
      <c r="G1442" s="137">
        <v>0</v>
      </c>
      <c r="H1442" s="137">
        <f>+H1443+H1444</f>
        <v>40682</v>
      </c>
      <c r="I1442" s="151">
        <f>+I1443+I1444</f>
        <v>980818</v>
      </c>
      <c r="J1442" s="152">
        <f>+J1443+J1444</f>
        <v>1373903</v>
      </c>
      <c r="K1442" s="152">
        <f t="shared" ref="K1442:N1442" si="832">+K1443+K1444</f>
        <v>0</v>
      </c>
      <c r="L1442" s="152">
        <f t="shared" si="832"/>
        <v>1450155</v>
      </c>
      <c r="M1442" s="152">
        <f t="shared" si="832"/>
        <v>0</v>
      </c>
      <c r="N1442" s="152">
        <f t="shared" si="832"/>
        <v>0</v>
      </c>
      <c r="O1442" s="152">
        <f t="shared" ref="O1442:P1442" si="833">+O1443+O1444</f>
        <v>0</v>
      </c>
      <c r="P1442" s="152">
        <f t="shared" si="833"/>
        <v>10700</v>
      </c>
      <c r="Q1442" s="87"/>
      <c r="R1442" s="203"/>
    </row>
    <row r="1443" spans="1:18" ht="14.1" customHeight="1" x14ac:dyDescent="0.2">
      <c r="A1443" s="94"/>
      <c r="B1443" s="95">
        <v>50</v>
      </c>
      <c r="C1443" s="96" t="s">
        <v>102</v>
      </c>
      <c r="D1443" s="43">
        <v>37732</v>
      </c>
      <c r="E1443" s="71"/>
      <c r="F1443" s="98">
        <f t="shared" si="831"/>
        <v>37732</v>
      </c>
      <c r="G1443" s="98"/>
      <c r="H1443" s="98">
        <f>+G1443+F1443</f>
        <v>37732</v>
      </c>
      <c r="I1443" s="97">
        <v>26394</v>
      </c>
      <c r="J1443" s="99">
        <v>30105</v>
      </c>
      <c r="K1443" s="98"/>
      <c r="L1443" s="182">
        <v>30105</v>
      </c>
      <c r="M1443" s="182"/>
      <c r="N1443" s="182"/>
      <c r="O1443" s="182"/>
      <c r="P1443" s="78">
        <v>1200</v>
      </c>
      <c r="Q1443" s="87"/>
      <c r="R1443" s="203" t="s">
        <v>1351</v>
      </c>
    </row>
    <row r="1444" spans="1:18" ht="14.1" customHeight="1" x14ac:dyDescent="0.2">
      <c r="A1444" s="94"/>
      <c r="B1444" s="95">
        <v>55</v>
      </c>
      <c r="C1444" s="96" t="s">
        <v>104</v>
      </c>
      <c r="D1444" s="43">
        <v>2950</v>
      </c>
      <c r="E1444" s="71"/>
      <c r="F1444" s="98">
        <f t="shared" si="831"/>
        <v>2950</v>
      </c>
      <c r="G1444" s="98"/>
      <c r="H1444" s="98">
        <f t="shared" ref="H1444" si="834">+G1444+F1444</f>
        <v>2950</v>
      </c>
      <c r="I1444" s="97">
        <f>+I1449+I1450+I1451+I1453+I1455+I1456+I1457+I1458+I1459</f>
        <v>954424</v>
      </c>
      <c r="J1444" s="99">
        <f>SUM(J1449:J1459)</f>
        <v>1343798</v>
      </c>
      <c r="K1444" s="98"/>
      <c r="L1444" s="170">
        <f>+L1449+L1450+L1451+L1453+L1455+L1456+L1457+L1458+L1459</f>
        <v>1420050</v>
      </c>
      <c r="M1444" s="170"/>
      <c r="N1444" s="170"/>
      <c r="O1444" s="170"/>
      <c r="P1444" s="170">
        <f>P1445+P1446+P1447+P1448+P1449</f>
        <v>9500</v>
      </c>
      <c r="Q1444" s="87"/>
      <c r="R1444" s="203"/>
    </row>
    <row r="1445" spans="1:18" ht="14.1" customHeight="1" x14ac:dyDescent="0.2">
      <c r="A1445" s="94"/>
      <c r="B1445" s="90">
        <v>5500</v>
      </c>
      <c r="C1445" s="103" t="s">
        <v>115</v>
      </c>
      <c r="D1445" s="43"/>
      <c r="E1445" s="71"/>
      <c r="F1445" s="98"/>
      <c r="G1445" s="98"/>
      <c r="H1445" s="98"/>
      <c r="I1445" s="97"/>
      <c r="J1445" s="99"/>
      <c r="K1445" s="99"/>
      <c r="L1445" s="231"/>
      <c r="M1445" s="98"/>
      <c r="N1445" s="98"/>
      <c r="O1445" s="98"/>
      <c r="P1445" s="67">
        <v>1500</v>
      </c>
      <c r="Q1445" s="87"/>
      <c r="R1445" s="203" t="s">
        <v>1352</v>
      </c>
    </row>
    <row r="1446" spans="1:18" ht="14.1" customHeight="1" x14ac:dyDescent="0.2">
      <c r="A1446" s="94"/>
      <c r="B1446" s="90">
        <v>5525</v>
      </c>
      <c r="C1446" s="72" t="s">
        <v>139</v>
      </c>
      <c r="D1446" s="43"/>
      <c r="E1446" s="71"/>
      <c r="F1446" s="98"/>
      <c r="G1446" s="98"/>
      <c r="H1446" s="98"/>
      <c r="I1446" s="97"/>
      <c r="J1446" s="99"/>
      <c r="K1446" s="99"/>
      <c r="L1446" s="231"/>
      <c r="M1446" s="98"/>
      <c r="N1446" s="98"/>
      <c r="O1446" s="98"/>
      <c r="P1446" s="67">
        <f>2500+4500+1000</f>
        <v>8000</v>
      </c>
      <c r="Q1446" s="87"/>
      <c r="R1446" s="203" t="s">
        <v>1353</v>
      </c>
    </row>
    <row r="1447" spans="1:18" ht="14.1" customHeight="1" x14ac:dyDescent="0.2">
      <c r="A1447" s="94"/>
      <c r="B1447" s="90">
        <v>5540</v>
      </c>
      <c r="C1447" s="72" t="s">
        <v>193</v>
      </c>
      <c r="D1447" s="43"/>
      <c r="E1447" s="71"/>
      <c r="F1447" s="98"/>
      <c r="G1447" s="98"/>
      <c r="H1447" s="98"/>
      <c r="I1447" s="97"/>
      <c r="J1447" s="99"/>
      <c r="K1447" s="99"/>
      <c r="L1447" s="231"/>
      <c r="M1447" s="98"/>
      <c r="N1447" s="98"/>
      <c r="O1447" s="98"/>
      <c r="P1447" s="67">
        <v>0</v>
      </c>
      <c r="Q1447" s="87"/>
      <c r="R1447" s="203"/>
    </row>
    <row r="1448" spans="1:18" ht="13.5" hidden="1" customHeight="1" x14ac:dyDescent="0.2">
      <c r="A1448" s="94"/>
      <c r="B1448" s="95"/>
      <c r="C1448" s="96"/>
      <c r="D1448" s="43"/>
      <c r="E1448" s="71"/>
      <c r="F1448" s="98"/>
      <c r="G1448" s="98"/>
      <c r="H1448" s="98"/>
      <c r="I1448" s="97"/>
      <c r="J1448" s="99"/>
      <c r="K1448" s="99"/>
      <c r="L1448" s="231"/>
      <c r="M1448" s="98"/>
      <c r="N1448" s="98"/>
      <c r="O1448" s="98"/>
      <c r="P1448" s="78"/>
      <c r="Q1448" s="87"/>
      <c r="R1448" s="203"/>
    </row>
    <row r="1449" spans="1:18" ht="13.5" hidden="1" customHeight="1" x14ac:dyDescent="0.2">
      <c r="A1449" s="94"/>
      <c r="B1449" s="90"/>
      <c r="C1449" s="72"/>
      <c r="D1449" s="102"/>
      <c r="E1449" s="71"/>
      <c r="F1449" s="74"/>
      <c r="G1449" s="74"/>
      <c r="H1449" s="74"/>
      <c r="I1449" s="71"/>
      <c r="J1449" s="73"/>
      <c r="K1449" s="73"/>
      <c r="L1449" s="73"/>
      <c r="M1449" s="74"/>
      <c r="N1449" s="74"/>
      <c r="O1449" s="74"/>
      <c r="P1449" s="67"/>
      <c r="Q1449" s="87"/>
      <c r="R1449" s="203"/>
    </row>
    <row r="1450" spans="1:18" ht="14.1" customHeight="1" x14ac:dyDescent="0.2">
      <c r="A1450" s="79" t="s">
        <v>445</v>
      </c>
      <c r="B1450" s="80">
        <v>10</v>
      </c>
      <c r="C1450" s="81" t="s">
        <v>446</v>
      </c>
      <c r="D1450" s="82">
        <v>1197672</v>
      </c>
      <c r="E1450" s="83">
        <f>+E1456+E1477+E1496+E1508+E1498+E1533+E1535+E1538+E1547+E1553+E1588+E1586+E1593</f>
        <v>28532</v>
      </c>
      <c r="F1450" s="86">
        <f t="shared" si="824"/>
        <v>1226204</v>
      </c>
      <c r="G1450" s="86">
        <f>+G1456+G1496+G1508+G1498+G1533+G1535+G1538+G1547+G1553+G1588+G1586+G1593</f>
        <v>-5000</v>
      </c>
      <c r="H1450" s="86">
        <f>+H1456+H1508+H1498+H1533+H1535+H1538+H1547+H1553+H1588+H1586+H1593</f>
        <v>1093664</v>
      </c>
      <c r="I1450" s="83">
        <f>+I1456+I1508+I1498+I1533+I1538+I1547+I1553+I1588+I1593</f>
        <v>809989</v>
      </c>
      <c r="J1450" s="82">
        <f>+J1456+J1496+J1508+J1498+J1533+J1538+J1547+J1553+J1588+J1586+J1593</f>
        <v>1140285</v>
      </c>
      <c r="K1450" s="82">
        <f>+K1456+K1496+K1508+K1498+K1533+K1538+K1547+K1553+K1588+K1586+K1593</f>
        <v>76252</v>
      </c>
      <c r="L1450" s="82">
        <f>+L1456+L1496+L1508+L1498+L1533+L1538+L1547+L1553+L1588+L1586+L1593+L1590</f>
        <v>1216537</v>
      </c>
      <c r="M1450" s="82">
        <f>+M1456+M1496+M1508+M1498+M1533+M1538+M1547+M1553+M1588+M1586+M1593+M1590</f>
        <v>174078</v>
      </c>
      <c r="N1450" s="82">
        <f>+N1456+N1496+N1508+N1498+N1533+N1538+N1547+N1553+N1588+N1586+N1594+N1590+N1584+N1477+N1609+N1611</f>
        <v>1518155</v>
      </c>
      <c r="O1450" s="82">
        <f>+O1456+O1496+O1508+O1498+O1533+O1538+O1547+O1553+O1588+O1586+O1594+O1590+O1584+O1477+O1609+O1611</f>
        <v>1301628</v>
      </c>
      <c r="P1450" s="82">
        <f>+P1456+P1496+P1508+P1498+P1533+P1538+P1547+P1553+P1588+P1586+P1594+P1590+P1584+P1477+P1609+P1611</f>
        <v>1729426</v>
      </c>
      <c r="Q1450" s="87">
        <f t="shared" si="789"/>
        <v>0.13916299719066894</v>
      </c>
      <c r="R1450" s="203"/>
    </row>
    <row r="1451" spans="1:18" ht="14.1" customHeight="1" x14ac:dyDescent="0.2">
      <c r="A1451" s="137"/>
      <c r="B1451" s="137"/>
      <c r="C1451" s="137" t="s">
        <v>1082</v>
      </c>
      <c r="D1451" s="137"/>
      <c r="E1451" s="137"/>
      <c r="F1451" s="137"/>
      <c r="G1451" s="137"/>
      <c r="H1451" s="137"/>
      <c r="I1451" s="137"/>
      <c r="J1451" s="137"/>
      <c r="K1451" s="137"/>
      <c r="L1451" s="137"/>
      <c r="M1451" s="137"/>
      <c r="N1451" s="137">
        <f>N1453+N1454+N1452+N1455</f>
        <v>1518155</v>
      </c>
      <c r="O1451" s="137">
        <f>O1453+O1454+O1452+O1455</f>
        <v>1301628</v>
      </c>
      <c r="P1451" s="137">
        <f>P1453+P1454+P1452+P1455</f>
        <v>1729426</v>
      </c>
      <c r="Q1451" s="87">
        <f t="shared" si="789"/>
        <v>0.13916299719066894</v>
      </c>
      <c r="R1451" s="203"/>
    </row>
    <row r="1452" spans="1:18" ht="14.1" customHeight="1" x14ac:dyDescent="0.2">
      <c r="A1452" s="139"/>
      <c r="B1452" s="139">
        <v>45</v>
      </c>
      <c r="C1452" s="139" t="s">
        <v>1083</v>
      </c>
      <c r="D1452" s="139"/>
      <c r="E1452" s="139"/>
      <c r="F1452" s="139"/>
      <c r="G1452" s="139"/>
      <c r="H1452" s="139"/>
      <c r="I1452" s="139"/>
      <c r="J1452" s="139"/>
      <c r="K1452" s="139"/>
      <c r="L1452" s="139"/>
      <c r="M1452" s="139"/>
      <c r="N1452" s="139">
        <f>N1458+N1467+N1478+N1486+N1493+N1494+N1495+N1539+N1540+N1541+N1542+N1555+N1556+N1557+N1558+N1559+N1560+N1561+N1562+N1563+N1567+N1570+N1564+N1565+N1571+N1583+N1574+N1589+N1610+N1612+N1591+N1585+N1509+N1572</f>
        <v>687646</v>
      </c>
      <c r="O1452" s="139">
        <f>O1458+O1467+O1478+O1486+O1493+O1494+O1495+O1539+O1548+O1554+O1566+O1570+O1564+O1565+O1583+O1574+O1589+O1610+O1612+O1591+O1585+O1509</f>
        <v>658070</v>
      </c>
      <c r="P1452" s="139">
        <f>P1458+P1467+P1478+P1486+P1493+P1494+P1495+P1539+P1548+P1554+P1566+P1570+P1564+P1565+P1583+P1574+P1589+P1610+P1612+P1591+P1585+P1509</f>
        <v>680900</v>
      </c>
      <c r="Q1452" s="87">
        <f t="shared" si="789"/>
        <v>-9.8102802895675967E-3</v>
      </c>
      <c r="R1452" s="203"/>
    </row>
    <row r="1453" spans="1:18" ht="14.1" customHeight="1" x14ac:dyDescent="0.2">
      <c r="A1453" s="140"/>
      <c r="B1453" s="140">
        <v>50</v>
      </c>
      <c r="C1453" s="140" t="s">
        <v>1084</v>
      </c>
      <c r="D1453" s="140"/>
      <c r="E1453" s="140"/>
      <c r="F1453" s="140"/>
      <c r="G1453" s="140"/>
      <c r="H1453" s="140"/>
      <c r="I1453" s="140"/>
      <c r="J1453" s="140"/>
      <c r="K1453" s="140"/>
      <c r="L1453" s="140"/>
      <c r="M1453" s="140"/>
      <c r="N1453" s="140">
        <f>N1468+N1487+N1510+N1499+N1575+N1595+N1544+N1613</f>
        <v>371259</v>
      </c>
      <c r="O1453" s="67">
        <f>O1468+O1487+O1510+O1499+O1575+O1595+O1544+O1613</f>
        <v>302794</v>
      </c>
      <c r="P1453" s="67">
        <f>P1468+P1487+P1510+P1499+P1575+P1595+P1544+P1613</f>
        <v>514802</v>
      </c>
      <c r="Q1453" s="87">
        <f t="shared" si="789"/>
        <v>0.38663843839475948</v>
      </c>
      <c r="R1453" s="203"/>
    </row>
    <row r="1454" spans="1:18" ht="14.1" customHeight="1" x14ac:dyDescent="0.2">
      <c r="A1454" s="141"/>
      <c r="B1454" s="141">
        <v>55</v>
      </c>
      <c r="C1454" s="141" t="s">
        <v>1085</v>
      </c>
      <c r="D1454" s="141"/>
      <c r="E1454" s="141"/>
      <c r="F1454" s="141"/>
      <c r="G1454" s="141"/>
      <c r="H1454" s="141"/>
      <c r="I1454" s="141"/>
      <c r="J1454" s="141"/>
      <c r="K1454" s="141"/>
      <c r="L1454" s="141"/>
      <c r="M1454" s="141"/>
      <c r="N1454" s="141">
        <f>N1469+N1488+N1497+N1511+N1500+N1534+N1550+N1578+N1587+N1592+N1596+N1545+N1576+N1614</f>
        <v>459250</v>
      </c>
      <c r="O1454" s="141">
        <f>O1469+O1488+O1497+O1511+O1500+O1534+O1550+O1587+O1592+O1596+O1545+O1576+O1614</f>
        <v>340764</v>
      </c>
      <c r="P1454" s="141">
        <f>P1469+P1488+P1497+P1511+P1500+P1534+P1550+P1587+P1592+P1596+P1545+P1576+P1614</f>
        <v>533724</v>
      </c>
      <c r="Q1454" s="87">
        <f t="shared" si="789"/>
        <v>0.16216439847577571</v>
      </c>
      <c r="R1454" s="203"/>
    </row>
    <row r="1455" spans="1:18" ht="14.1" customHeight="1" x14ac:dyDescent="0.2">
      <c r="A1455" s="142"/>
      <c r="B1455" s="142">
        <v>60</v>
      </c>
      <c r="C1455" s="142" t="s">
        <v>1086</v>
      </c>
      <c r="D1455" s="145"/>
      <c r="E1455" s="142"/>
      <c r="F1455" s="142"/>
      <c r="G1455" s="142"/>
      <c r="H1455" s="142"/>
      <c r="I1455" s="142"/>
      <c r="J1455" s="145"/>
      <c r="K1455" s="142"/>
      <c r="L1455" s="142"/>
      <c r="M1455" s="142"/>
      <c r="N1455" s="142"/>
      <c r="O1455" s="142"/>
      <c r="P1455" s="142"/>
      <c r="Q1455" s="87" t="e">
        <f t="shared" si="789"/>
        <v>#DIV/0!</v>
      </c>
      <c r="R1455" s="203"/>
    </row>
    <row r="1456" spans="1:18" ht="14.1" customHeight="1" x14ac:dyDescent="0.2">
      <c r="A1456" s="146" t="s">
        <v>1154</v>
      </c>
      <c r="B1456" s="147"/>
      <c r="C1456" s="248" t="s">
        <v>1155</v>
      </c>
      <c r="D1456" s="149">
        <v>245730</v>
      </c>
      <c r="E1456" s="150"/>
      <c r="F1456" s="137">
        <f t="shared" si="824"/>
        <v>245730</v>
      </c>
      <c r="G1456" s="137">
        <v>0</v>
      </c>
      <c r="H1456" s="137">
        <f>+H1457+H1477+H1496</f>
        <v>133190</v>
      </c>
      <c r="I1456" s="151">
        <f>+I1457+I1477+I1493+I1494+I1495+I1496</f>
        <v>75228</v>
      </c>
      <c r="J1456" s="152">
        <f>+J1457+J1477</f>
        <v>97435</v>
      </c>
      <c r="K1456" s="152">
        <f>+K1457+K1477</f>
        <v>0</v>
      </c>
      <c r="L1456" s="152">
        <f>+L1457+L1477</f>
        <v>97435</v>
      </c>
      <c r="M1456" s="152">
        <f>+M1457+M1477</f>
        <v>0</v>
      </c>
      <c r="N1456" s="152">
        <f>N1458+N1467+N1468+N1469</f>
        <v>127540</v>
      </c>
      <c r="O1456" s="152">
        <f>O1458+O1467+O1468+O1469</f>
        <v>108835</v>
      </c>
      <c r="P1456" s="152">
        <f>P1458+P1467+P1468+P1469</f>
        <v>208750</v>
      </c>
      <c r="Q1456" s="87">
        <f t="shared" si="789"/>
        <v>0.6367414144582092</v>
      </c>
      <c r="R1456" s="203"/>
    </row>
    <row r="1457" spans="1:25" s="49" customFormat="1" ht="13.5" hidden="1" customHeight="1" x14ac:dyDescent="0.25">
      <c r="A1457" s="184"/>
      <c r="B1457" s="185"/>
      <c r="C1457" s="249"/>
      <c r="D1457" s="43"/>
      <c r="E1457" s="71"/>
      <c r="F1457" s="98"/>
      <c r="G1457" s="98"/>
      <c r="H1457" s="98"/>
      <c r="I1457" s="97"/>
      <c r="J1457" s="99"/>
      <c r="K1457" s="98"/>
      <c r="L1457" s="98"/>
      <c r="M1457" s="98"/>
      <c r="N1457" s="98"/>
      <c r="O1457" s="98"/>
      <c r="P1457" s="78"/>
      <c r="Q1457" s="87"/>
      <c r="R1457" s="203"/>
      <c r="S1457" s="56"/>
      <c r="U1457" s="56"/>
      <c r="V1457" s="56"/>
      <c r="W1457" s="56"/>
      <c r="X1457" s="56"/>
      <c r="Y1457" s="56"/>
    </row>
    <row r="1458" spans="1:25" s="49" customFormat="1" ht="14.1" customHeight="1" x14ac:dyDescent="0.2">
      <c r="A1458" s="89"/>
      <c r="B1458" s="90" t="s">
        <v>447</v>
      </c>
      <c r="C1458" s="72" t="s">
        <v>448</v>
      </c>
      <c r="D1458" s="102">
        <v>106078</v>
      </c>
      <c r="E1458" s="71"/>
      <c r="F1458" s="74">
        <f>+E1458+D1458</f>
        <v>106078</v>
      </c>
      <c r="G1458" s="74"/>
      <c r="H1458" s="74">
        <f>+G1458+F1458</f>
        <v>106078</v>
      </c>
      <c r="I1458" s="125">
        <v>69207</v>
      </c>
      <c r="J1458" s="73">
        <v>106078</v>
      </c>
      <c r="K1458" s="74"/>
      <c r="L1458" s="142">
        <v>106078</v>
      </c>
      <c r="M1458" s="142"/>
      <c r="N1458" s="142">
        <f>+L1458+M1458</f>
        <v>106078</v>
      </c>
      <c r="O1458" s="142">
        <f>SUM(O1459:O1466)</f>
        <v>75876</v>
      </c>
      <c r="P1458" s="142">
        <f>SUM(P1459:P1466)</f>
        <v>122000</v>
      </c>
      <c r="Q1458" s="87">
        <f>(P1458-N1458)/N1458</f>
        <v>0.150097098361583</v>
      </c>
      <c r="R1458" s="203"/>
      <c r="S1458" s="56"/>
      <c r="U1458" s="56"/>
      <c r="V1458" s="56"/>
      <c r="W1458" s="56"/>
      <c r="X1458" s="56"/>
      <c r="Y1458" s="56"/>
    </row>
    <row r="1459" spans="1:25" s="49" customFormat="1" ht="14.1" customHeight="1" x14ac:dyDescent="0.2">
      <c r="A1459" s="184"/>
      <c r="B1459" s="185"/>
      <c r="C1459" s="184" t="s">
        <v>1157</v>
      </c>
      <c r="D1459" s="43"/>
      <c r="E1459" s="71"/>
      <c r="F1459" s="98"/>
      <c r="G1459" s="98"/>
      <c r="H1459" s="98"/>
      <c r="I1459" s="97"/>
      <c r="J1459" s="99"/>
      <c r="K1459" s="98"/>
      <c r="L1459" s="98"/>
      <c r="M1459" s="98"/>
      <c r="N1459" s="153"/>
      <c r="O1459" s="153">
        <v>58056</v>
      </c>
      <c r="P1459" s="155">
        <v>95000</v>
      </c>
      <c r="Q1459" s="87"/>
      <c r="R1459" s="203"/>
      <c r="S1459" s="56"/>
      <c r="U1459" s="56"/>
      <c r="V1459" s="56"/>
      <c r="W1459" s="56"/>
      <c r="X1459" s="56"/>
      <c r="Y1459" s="56"/>
    </row>
    <row r="1460" spans="1:25" s="49" customFormat="1" ht="14.1" customHeight="1" x14ac:dyDescent="0.2">
      <c r="A1460" s="184"/>
      <c r="B1460" s="185"/>
      <c r="C1460" s="184" t="s">
        <v>1158</v>
      </c>
      <c r="D1460" s="43"/>
      <c r="E1460" s="71"/>
      <c r="F1460" s="98"/>
      <c r="G1460" s="98"/>
      <c r="H1460" s="98"/>
      <c r="I1460" s="97"/>
      <c r="J1460" s="99"/>
      <c r="K1460" s="98"/>
      <c r="L1460" s="98"/>
      <c r="M1460" s="98"/>
      <c r="N1460" s="153"/>
      <c r="O1460" s="153">
        <v>2600</v>
      </c>
      <c r="P1460" s="155">
        <v>4000</v>
      </c>
      <c r="Q1460" s="87"/>
      <c r="R1460" s="203"/>
      <c r="S1460" s="56"/>
      <c r="U1460" s="56"/>
      <c r="V1460" s="56"/>
      <c r="W1460" s="56"/>
      <c r="X1460" s="56"/>
      <c r="Y1460" s="56"/>
    </row>
    <row r="1461" spans="1:25" s="49" customFormat="1" ht="14.1" customHeight="1" x14ac:dyDescent="0.2">
      <c r="A1461" s="184"/>
      <c r="B1461" s="185"/>
      <c r="C1461" s="184" t="s">
        <v>1159</v>
      </c>
      <c r="D1461" s="43"/>
      <c r="E1461" s="71"/>
      <c r="F1461" s="98"/>
      <c r="G1461" s="98"/>
      <c r="H1461" s="98"/>
      <c r="I1461" s="97"/>
      <c r="J1461" s="99"/>
      <c r="K1461" s="98"/>
      <c r="L1461" s="98"/>
      <c r="M1461" s="98"/>
      <c r="N1461" s="153"/>
      <c r="O1461" s="153">
        <v>1103</v>
      </c>
      <c r="P1461" s="155">
        <v>1500</v>
      </c>
      <c r="Q1461" s="87"/>
      <c r="R1461" s="203"/>
      <c r="S1461" s="56"/>
      <c r="U1461" s="56"/>
      <c r="V1461" s="56"/>
      <c r="W1461" s="56"/>
      <c r="X1461" s="56"/>
      <c r="Y1461" s="56"/>
    </row>
    <row r="1462" spans="1:25" s="49" customFormat="1" ht="14.1" customHeight="1" x14ac:dyDescent="0.2">
      <c r="A1462" s="184"/>
      <c r="B1462" s="185"/>
      <c r="C1462" s="184" t="s">
        <v>1160</v>
      </c>
      <c r="D1462" s="43"/>
      <c r="E1462" s="71"/>
      <c r="F1462" s="98"/>
      <c r="G1462" s="98"/>
      <c r="H1462" s="98"/>
      <c r="I1462" s="97"/>
      <c r="J1462" s="99"/>
      <c r="K1462" s="98"/>
      <c r="L1462" s="98"/>
      <c r="M1462" s="98"/>
      <c r="N1462" s="153"/>
      <c r="O1462" s="153">
        <v>4243</v>
      </c>
      <c r="P1462" s="155">
        <v>6000</v>
      </c>
      <c r="Q1462" s="87"/>
      <c r="R1462" s="203"/>
      <c r="S1462" s="56"/>
      <c r="U1462" s="56"/>
      <c r="V1462" s="56"/>
      <c r="W1462" s="56"/>
      <c r="X1462" s="56"/>
      <c r="Y1462" s="56"/>
    </row>
    <row r="1463" spans="1:25" s="49" customFormat="1" ht="14.1" customHeight="1" x14ac:dyDescent="0.2">
      <c r="A1463" s="184"/>
      <c r="B1463" s="185"/>
      <c r="C1463" s="184" t="s">
        <v>1161</v>
      </c>
      <c r="D1463" s="43"/>
      <c r="E1463" s="71"/>
      <c r="F1463" s="98"/>
      <c r="G1463" s="98"/>
      <c r="H1463" s="98"/>
      <c r="I1463" s="97"/>
      <c r="J1463" s="99"/>
      <c r="K1463" s="98"/>
      <c r="L1463" s="98"/>
      <c r="M1463" s="98"/>
      <c r="N1463" s="153"/>
      <c r="O1463" s="153">
        <v>2600</v>
      </c>
      <c r="P1463" s="155">
        <v>7500</v>
      </c>
      <c r="Q1463" s="87"/>
      <c r="R1463" s="203"/>
      <c r="S1463" s="56"/>
      <c r="U1463" s="56"/>
      <c r="V1463" s="56"/>
      <c r="W1463" s="56"/>
      <c r="X1463" s="56"/>
      <c r="Y1463" s="56"/>
    </row>
    <row r="1464" spans="1:25" s="49" customFormat="1" ht="14.1" customHeight="1" x14ac:dyDescent="0.2">
      <c r="A1464" s="184"/>
      <c r="B1464" s="185"/>
      <c r="C1464" s="184" t="s">
        <v>1162</v>
      </c>
      <c r="D1464" s="43"/>
      <c r="E1464" s="71"/>
      <c r="F1464" s="98"/>
      <c r="G1464" s="98"/>
      <c r="H1464" s="98"/>
      <c r="I1464" s="97"/>
      <c r="J1464" s="99"/>
      <c r="K1464" s="98"/>
      <c r="L1464" s="98"/>
      <c r="M1464" s="98"/>
      <c r="N1464" s="153"/>
      <c r="O1464" s="153"/>
      <c r="P1464" s="155">
        <v>1000</v>
      </c>
      <c r="Q1464" s="87"/>
      <c r="R1464" s="203"/>
      <c r="S1464" s="56"/>
      <c r="U1464" s="56"/>
      <c r="V1464" s="56"/>
      <c r="W1464" s="56"/>
      <c r="X1464" s="56"/>
      <c r="Y1464" s="56"/>
    </row>
    <row r="1465" spans="1:25" s="49" customFormat="1" ht="14.1" customHeight="1" x14ac:dyDescent="0.2">
      <c r="A1465" s="184"/>
      <c r="B1465" s="185"/>
      <c r="C1465" s="184" t="s">
        <v>1163</v>
      </c>
      <c r="D1465" s="43"/>
      <c r="E1465" s="71"/>
      <c r="F1465" s="98"/>
      <c r="G1465" s="98"/>
      <c r="H1465" s="98"/>
      <c r="I1465" s="97"/>
      <c r="J1465" s="99"/>
      <c r="K1465" s="98"/>
      <c r="L1465" s="98"/>
      <c r="M1465" s="98"/>
      <c r="N1465" s="153"/>
      <c r="O1465" s="153">
        <v>391</v>
      </c>
      <c r="P1465" s="155">
        <v>1000</v>
      </c>
      <c r="Q1465" s="87"/>
      <c r="R1465" s="203"/>
      <c r="S1465" s="56"/>
      <c r="U1465" s="56"/>
      <c r="V1465" s="56"/>
      <c r="W1465" s="56"/>
      <c r="X1465" s="56"/>
      <c r="Y1465" s="56"/>
    </row>
    <row r="1466" spans="1:25" s="49" customFormat="1" ht="14.1" customHeight="1" x14ac:dyDescent="0.2">
      <c r="A1466" s="184"/>
      <c r="B1466" s="185"/>
      <c r="C1466" s="184" t="s">
        <v>1164</v>
      </c>
      <c r="D1466" s="43"/>
      <c r="E1466" s="71"/>
      <c r="F1466" s="98"/>
      <c r="G1466" s="98"/>
      <c r="H1466" s="98"/>
      <c r="I1466" s="97"/>
      <c r="J1466" s="99"/>
      <c r="K1466" s="98"/>
      <c r="L1466" s="98"/>
      <c r="M1466" s="98"/>
      <c r="N1466" s="153"/>
      <c r="O1466" s="153">
        <v>6883</v>
      </c>
      <c r="P1466" s="155">
        <v>6000</v>
      </c>
      <c r="Q1466" s="87"/>
      <c r="R1466" s="203"/>
      <c r="S1466" s="56"/>
      <c r="U1466" s="56"/>
      <c r="V1466" s="56"/>
      <c r="W1466" s="56"/>
      <c r="X1466" s="56"/>
      <c r="Y1466" s="56"/>
    </row>
    <row r="1467" spans="1:25" s="49" customFormat="1" ht="14.1" customHeight="1" x14ac:dyDescent="0.2">
      <c r="A1467" s="89"/>
      <c r="B1467" s="90" t="s">
        <v>449</v>
      </c>
      <c r="C1467" s="72" t="s">
        <v>450</v>
      </c>
      <c r="D1467" s="102">
        <v>8000</v>
      </c>
      <c r="E1467" s="71"/>
      <c r="F1467" s="74">
        <f>+E1467+D1467</f>
        <v>8000</v>
      </c>
      <c r="G1467" s="74"/>
      <c r="H1467" s="74">
        <f>+G1467+F1467</f>
        <v>8000</v>
      </c>
      <c r="I1467" s="125">
        <v>7708</v>
      </c>
      <c r="J1467" s="73">
        <v>8000</v>
      </c>
      <c r="K1467" s="74"/>
      <c r="L1467" s="142">
        <v>8000</v>
      </c>
      <c r="M1467" s="142"/>
      <c r="N1467" s="142">
        <f>+L1467+M1467</f>
        <v>8000</v>
      </c>
      <c r="O1467" s="142">
        <v>6938</v>
      </c>
      <c r="P1467" s="142">
        <v>16000</v>
      </c>
      <c r="Q1467" s="87">
        <f>(P1467-N1467)/N1467</f>
        <v>1</v>
      </c>
      <c r="R1467" s="203"/>
      <c r="S1467" s="56"/>
      <c r="U1467" s="56"/>
      <c r="V1467" s="56"/>
      <c r="W1467" s="56"/>
      <c r="X1467" s="56"/>
      <c r="Y1467" s="56"/>
    </row>
    <row r="1468" spans="1:25" s="49" customFormat="1" ht="14.1" customHeight="1" x14ac:dyDescent="0.2">
      <c r="A1468" s="184"/>
      <c r="B1468" s="95">
        <v>50</v>
      </c>
      <c r="C1468" s="96" t="s">
        <v>102</v>
      </c>
      <c r="D1468" s="102">
        <v>6262</v>
      </c>
      <c r="E1468" s="71"/>
      <c r="F1468" s="74">
        <f t="shared" si="824"/>
        <v>6262</v>
      </c>
      <c r="G1468" s="74"/>
      <c r="H1468" s="74">
        <f t="shared" ref="H1468:H1472" si="835">+G1468+F1468</f>
        <v>6262</v>
      </c>
      <c r="I1468" s="125">
        <v>6397</v>
      </c>
      <c r="J1468" s="73">
        <v>6262</v>
      </c>
      <c r="K1468" s="74"/>
      <c r="L1468" s="140">
        <v>6262</v>
      </c>
      <c r="M1468" s="140"/>
      <c r="N1468" s="140">
        <v>6262</v>
      </c>
      <c r="O1468" s="140">
        <v>5931</v>
      </c>
      <c r="P1468" s="67">
        <v>12000</v>
      </c>
      <c r="Q1468" s="87">
        <f t="shared" si="789"/>
        <v>0.91632066432449699</v>
      </c>
      <c r="R1468" s="203" t="s">
        <v>1171</v>
      </c>
      <c r="S1468" s="56"/>
      <c r="U1468" s="56"/>
      <c r="V1468" s="56"/>
      <c r="W1468" s="56"/>
      <c r="X1468" s="56"/>
      <c r="Y1468" s="56"/>
    </row>
    <row r="1469" spans="1:25" s="49" customFormat="1" ht="14.1" customHeight="1" x14ac:dyDescent="0.2">
      <c r="A1469" s="184"/>
      <c r="B1469" s="95">
        <v>55</v>
      </c>
      <c r="C1469" s="96" t="s">
        <v>104</v>
      </c>
      <c r="D1469" s="102"/>
      <c r="E1469" s="71"/>
      <c r="F1469" s="74"/>
      <c r="G1469" s="74"/>
      <c r="H1469" s="74"/>
      <c r="I1469" s="125"/>
      <c r="J1469" s="73"/>
      <c r="K1469" s="74"/>
      <c r="L1469" s="140"/>
      <c r="M1469" s="140"/>
      <c r="N1469" s="141">
        <v>7200</v>
      </c>
      <c r="O1469" s="141">
        <f>O1470+O1471+O1472</f>
        <v>20090</v>
      </c>
      <c r="P1469" s="141">
        <f>SUM(P1470+P1471+P1472)</f>
        <v>58750</v>
      </c>
      <c r="Q1469" s="87"/>
      <c r="R1469" s="203"/>
      <c r="S1469" s="56"/>
      <c r="U1469" s="56"/>
      <c r="V1469" s="56"/>
      <c r="W1469" s="56"/>
      <c r="X1469" s="56"/>
      <c r="Y1469" s="56"/>
    </row>
    <row r="1470" spans="1:25" s="49" customFormat="1" ht="14.1" customHeight="1" x14ac:dyDescent="0.2">
      <c r="A1470" s="184"/>
      <c r="B1470" s="90">
        <v>5513</v>
      </c>
      <c r="C1470" s="72" t="s">
        <v>1170</v>
      </c>
      <c r="D1470" s="102"/>
      <c r="E1470" s="71"/>
      <c r="F1470" s="74"/>
      <c r="G1470" s="74"/>
      <c r="H1470" s="74"/>
      <c r="I1470" s="125">
        <v>259</v>
      </c>
      <c r="J1470" s="73"/>
      <c r="K1470" s="74"/>
      <c r="L1470" s="74"/>
      <c r="M1470" s="74"/>
      <c r="N1470" s="74">
        <f>+L1470+M1470</f>
        <v>0</v>
      </c>
      <c r="O1470" s="74">
        <v>99</v>
      </c>
      <c r="P1470" s="67">
        <v>700</v>
      </c>
      <c r="Q1470" s="87" t="e">
        <f t="shared" si="789"/>
        <v>#DIV/0!</v>
      </c>
      <c r="R1470" s="203"/>
      <c r="S1470" s="56"/>
      <c r="U1470" s="56"/>
      <c r="V1470" s="56"/>
      <c r="W1470" s="56"/>
      <c r="X1470" s="56"/>
      <c r="Y1470" s="56"/>
    </row>
    <row r="1471" spans="1:25" s="49" customFormat="1" ht="14.1" customHeight="1" x14ac:dyDescent="0.2">
      <c r="A1471" s="184"/>
      <c r="B1471" s="90">
        <v>5522</v>
      </c>
      <c r="C1471" s="72" t="s">
        <v>137</v>
      </c>
      <c r="D1471" s="102"/>
      <c r="E1471" s="71"/>
      <c r="F1471" s="74"/>
      <c r="G1471" s="74"/>
      <c r="H1471" s="74"/>
      <c r="I1471" s="125"/>
      <c r="J1471" s="73"/>
      <c r="K1471" s="74"/>
      <c r="L1471" s="74"/>
      <c r="M1471" s="74"/>
      <c r="N1471" s="74"/>
      <c r="O1471" s="74">
        <f>5-2</f>
        <v>3</v>
      </c>
      <c r="P1471" s="67">
        <v>50</v>
      </c>
      <c r="Q1471" s="87"/>
      <c r="R1471" s="203"/>
      <c r="S1471" s="56"/>
      <c r="U1471" s="56"/>
      <c r="V1471" s="56"/>
      <c r="W1471" s="56"/>
      <c r="X1471" s="56"/>
      <c r="Y1471" s="56"/>
    </row>
    <row r="1472" spans="1:25" s="49" customFormat="1" ht="14.1" customHeight="1" x14ac:dyDescent="0.2">
      <c r="A1472" s="184"/>
      <c r="B1472" s="90">
        <v>5526</v>
      </c>
      <c r="C1472" s="250" t="s">
        <v>1169</v>
      </c>
      <c r="D1472" s="102">
        <v>7200</v>
      </c>
      <c r="E1472" s="71"/>
      <c r="F1472" s="74">
        <f t="shared" ref="F1472:F1486" si="836">+E1472+D1472</f>
        <v>7200</v>
      </c>
      <c r="G1472" s="74"/>
      <c r="H1472" s="74">
        <f t="shared" si="835"/>
        <v>7200</v>
      </c>
      <c r="I1472" s="125">
        <v>2353</v>
      </c>
      <c r="J1472" s="73">
        <v>7200</v>
      </c>
      <c r="K1472" s="74"/>
      <c r="L1472" s="74">
        <v>7200</v>
      </c>
      <c r="M1472" s="74"/>
      <c r="N1472" s="74">
        <f>+L1472+M1472</f>
        <v>7200</v>
      </c>
      <c r="O1472" s="74">
        <f>SUM(O1473:O1476)</f>
        <v>19988</v>
      </c>
      <c r="P1472" s="67">
        <f>SUM(P1473:P1476)</f>
        <v>58000</v>
      </c>
      <c r="Q1472" s="87">
        <f t="shared" ref="Q1472:Q1561" si="837">(P1472-N1472)/N1472</f>
        <v>7.0555555555555554</v>
      </c>
      <c r="R1472" s="206"/>
      <c r="S1472" s="56"/>
      <c r="U1472" s="56"/>
      <c r="V1472" s="56"/>
      <c r="W1472" s="56"/>
      <c r="X1472" s="56"/>
      <c r="Y1472" s="56"/>
    </row>
    <row r="1473" spans="1:25" s="49" customFormat="1" ht="14.1" customHeight="1" x14ac:dyDescent="0.2">
      <c r="A1473" s="184"/>
      <c r="B1473" s="185"/>
      <c r="C1473" s="251" t="s">
        <v>1167</v>
      </c>
      <c r="D1473" s="102"/>
      <c r="E1473" s="71"/>
      <c r="F1473" s="74"/>
      <c r="G1473" s="74"/>
      <c r="H1473" s="74"/>
      <c r="I1473" s="125"/>
      <c r="J1473" s="73"/>
      <c r="K1473" s="74"/>
      <c r="L1473" s="74"/>
      <c r="M1473" s="74"/>
      <c r="N1473" s="153">
        <v>0</v>
      </c>
      <c r="O1473" s="153">
        <v>2324</v>
      </c>
      <c r="P1473" s="155">
        <v>5000</v>
      </c>
      <c r="Q1473" s="87"/>
      <c r="R1473" s="206"/>
      <c r="S1473" s="56"/>
      <c r="U1473" s="56"/>
      <c r="V1473" s="56"/>
      <c r="W1473" s="56"/>
      <c r="X1473" s="56"/>
      <c r="Y1473" s="56"/>
    </row>
    <row r="1474" spans="1:25" s="49" customFormat="1" ht="14.1" customHeight="1" x14ac:dyDescent="0.2">
      <c r="A1474" s="184"/>
      <c r="B1474" s="185"/>
      <c r="C1474" s="251" t="s">
        <v>1168</v>
      </c>
      <c r="D1474" s="102"/>
      <c r="E1474" s="71"/>
      <c r="F1474" s="74"/>
      <c r="G1474" s="74"/>
      <c r="H1474" s="74"/>
      <c r="I1474" s="125"/>
      <c r="J1474" s="73"/>
      <c r="K1474" s="74"/>
      <c r="L1474" s="74"/>
      <c r="M1474" s="74"/>
      <c r="N1474" s="153">
        <v>0</v>
      </c>
      <c r="O1474" s="153">
        <v>12574</v>
      </c>
      <c r="P1474" s="155">
        <v>47000</v>
      </c>
      <c r="Q1474" s="87"/>
      <c r="R1474" s="206" t="s">
        <v>1254</v>
      </c>
      <c r="S1474" s="56"/>
      <c r="U1474" s="56"/>
      <c r="V1474" s="56"/>
      <c r="W1474" s="56"/>
      <c r="X1474" s="56"/>
      <c r="Y1474" s="56"/>
    </row>
    <row r="1475" spans="1:25" ht="14.1" customHeight="1" x14ac:dyDescent="0.2">
      <c r="A1475" s="184"/>
      <c r="B1475" s="185"/>
      <c r="C1475" s="251" t="s">
        <v>1165</v>
      </c>
      <c r="D1475" s="157">
        <v>7201</v>
      </c>
      <c r="E1475" s="158"/>
      <c r="F1475" s="153">
        <f t="shared" ref="F1475:F1476" si="838">+E1475+D1475</f>
        <v>7201</v>
      </c>
      <c r="G1475" s="153"/>
      <c r="H1475" s="153">
        <f t="shared" ref="H1475:H1476" si="839">+G1475+F1475</f>
        <v>7201</v>
      </c>
      <c r="I1475" s="252">
        <v>2353</v>
      </c>
      <c r="J1475" s="159">
        <v>7200</v>
      </c>
      <c r="K1475" s="153"/>
      <c r="L1475" s="153">
        <v>7200</v>
      </c>
      <c r="M1475" s="153"/>
      <c r="N1475" s="153">
        <v>0</v>
      </c>
      <c r="O1475" s="153">
        <v>2500</v>
      </c>
      <c r="P1475" s="155">
        <v>3000</v>
      </c>
      <c r="Q1475" s="87" t="e">
        <f t="shared" ref="Q1475:Q1476" si="840">(P1475-N1475)/N1475</f>
        <v>#DIV/0!</v>
      </c>
      <c r="R1475" s="203"/>
    </row>
    <row r="1476" spans="1:25" ht="14.1" customHeight="1" x14ac:dyDescent="0.2">
      <c r="A1476" s="184"/>
      <c r="B1476" s="185"/>
      <c r="C1476" s="251" t="s">
        <v>1166</v>
      </c>
      <c r="D1476" s="157">
        <v>7202</v>
      </c>
      <c r="E1476" s="158"/>
      <c r="F1476" s="153">
        <f t="shared" si="838"/>
        <v>7202</v>
      </c>
      <c r="G1476" s="153"/>
      <c r="H1476" s="153">
        <f t="shared" si="839"/>
        <v>7202</v>
      </c>
      <c r="I1476" s="252">
        <v>2353</v>
      </c>
      <c r="J1476" s="159">
        <v>7200</v>
      </c>
      <c r="K1476" s="153"/>
      <c r="L1476" s="153">
        <v>7200</v>
      </c>
      <c r="M1476" s="153"/>
      <c r="N1476" s="153">
        <v>0</v>
      </c>
      <c r="O1476" s="153">
        <v>2590</v>
      </c>
      <c r="P1476" s="155">
        <v>3000</v>
      </c>
      <c r="Q1476" s="87" t="e">
        <f t="shared" si="840"/>
        <v>#DIV/0!</v>
      </c>
      <c r="R1476" s="203"/>
    </row>
    <row r="1477" spans="1:25" s="49" customFormat="1" ht="14.1" customHeight="1" x14ac:dyDescent="0.2">
      <c r="A1477" s="146" t="s">
        <v>451</v>
      </c>
      <c r="B1477" s="253"/>
      <c r="C1477" s="248" t="s">
        <v>1156</v>
      </c>
      <c r="D1477" s="149">
        <v>97190</v>
      </c>
      <c r="E1477" s="150"/>
      <c r="F1477" s="137">
        <f t="shared" si="836"/>
        <v>97190</v>
      </c>
      <c r="G1477" s="137"/>
      <c r="H1477" s="137">
        <f>+G1477+F1477</f>
        <v>97190</v>
      </c>
      <c r="I1477" s="151">
        <f>+I1487+I1478+I1486+I1489+I1490</f>
        <v>43333</v>
      </c>
      <c r="J1477" s="152">
        <f>+J1487+J1478+J1486+J1489+J1490+J1493+J1494+J1495</f>
        <v>97435</v>
      </c>
      <c r="K1477" s="137"/>
      <c r="L1477" s="137">
        <f>+L1487+L1478+L1486+L1489+L1490+L1493+L1494+L1495</f>
        <v>97435</v>
      </c>
      <c r="M1477" s="137">
        <f>+M1487+M1478+M1486+M1489+M1490+M1493+M1494+M1495</f>
        <v>0</v>
      </c>
      <c r="N1477" s="137">
        <f>N1478+N1486+N1487+N1488</f>
        <v>97435</v>
      </c>
      <c r="O1477" s="137">
        <f>O1478+O1486+O1487+O1488</f>
        <v>57631</v>
      </c>
      <c r="P1477" s="137">
        <f>P1478+P1486+P1487+P1488</f>
        <v>116215</v>
      </c>
      <c r="Q1477" s="87">
        <f t="shared" si="837"/>
        <v>0.19274388053574176</v>
      </c>
      <c r="R1477" s="203"/>
      <c r="S1477" s="169" t="s">
        <v>1144</v>
      </c>
      <c r="T1477" s="254">
        <v>24213</v>
      </c>
      <c r="U1477" s="56"/>
      <c r="V1477" s="56"/>
      <c r="W1477" s="56"/>
      <c r="X1477" s="56"/>
      <c r="Y1477" s="56"/>
    </row>
    <row r="1478" spans="1:25" ht="14.1" customHeight="1" x14ac:dyDescent="0.2">
      <c r="A1478" s="89"/>
      <c r="B1478" s="90" t="s">
        <v>447</v>
      </c>
      <c r="C1478" s="255" t="s">
        <v>448</v>
      </c>
      <c r="D1478" s="102">
        <v>20000</v>
      </c>
      <c r="E1478" s="71"/>
      <c r="F1478" s="74">
        <f t="shared" si="836"/>
        <v>20000</v>
      </c>
      <c r="G1478" s="74"/>
      <c r="H1478" s="74">
        <f t="shared" ref="H1478:H1495" si="841">+G1478+F1478</f>
        <v>20000</v>
      </c>
      <c r="I1478" s="71">
        <v>9092</v>
      </c>
      <c r="J1478" s="73">
        <v>20000</v>
      </c>
      <c r="K1478" s="74"/>
      <c r="L1478" s="142">
        <v>20000</v>
      </c>
      <c r="M1478" s="142"/>
      <c r="N1478" s="142">
        <f>+L1478+M1478</f>
        <v>20000</v>
      </c>
      <c r="O1478" s="142">
        <f>SUM(O1479:O1485)</f>
        <v>21652</v>
      </c>
      <c r="P1478" s="142">
        <f>SUM(P1479:P1485)</f>
        <v>45000</v>
      </c>
      <c r="Q1478" s="87">
        <f t="shared" si="837"/>
        <v>1.25</v>
      </c>
      <c r="R1478" s="203"/>
    </row>
    <row r="1479" spans="1:25" ht="14.1" customHeight="1" x14ac:dyDescent="0.2">
      <c r="A1479" s="89"/>
      <c r="B1479" s="256"/>
      <c r="C1479" s="184" t="s">
        <v>1157</v>
      </c>
      <c r="D1479" s="102"/>
      <c r="E1479" s="71"/>
      <c r="F1479" s="74"/>
      <c r="G1479" s="74"/>
      <c r="H1479" s="74"/>
      <c r="I1479" s="71"/>
      <c r="J1479" s="73"/>
      <c r="K1479" s="74"/>
      <c r="L1479" s="142"/>
      <c r="M1479" s="142"/>
      <c r="N1479" s="153"/>
      <c r="O1479" s="153">
        <v>7049</v>
      </c>
      <c r="P1479" s="155">
        <v>20000</v>
      </c>
      <c r="Q1479" s="87"/>
      <c r="R1479" s="203"/>
    </row>
    <row r="1480" spans="1:25" ht="14.1" customHeight="1" x14ac:dyDescent="0.2">
      <c r="A1480" s="89"/>
      <c r="B1480" s="257" t="s">
        <v>1172</v>
      </c>
      <c r="C1480" s="184" t="s">
        <v>1173</v>
      </c>
      <c r="D1480" s="102"/>
      <c r="E1480" s="71"/>
      <c r="F1480" s="74"/>
      <c r="G1480" s="74"/>
      <c r="H1480" s="74"/>
      <c r="I1480" s="71"/>
      <c r="J1480" s="73"/>
      <c r="K1480" s="74"/>
      <c r="L1480" s="142"/>
      <c r="M1480" s="142"/>
      <c r="N1480" s="153"/>
      <c r="O1480" s="153">
        <v>370</v>
      </c>
      <c r="P1480" s="155">
        <v>1000</v>
      </c>
      <c r="Q1480" s="87"/>
      <c r="R1480" s="203" t="s">
        <v>1179</v>
      </c>
    </row>
    <row r="1481" spans="1:25" ht="14.1" customHeight="1" x14ac:dyDescent="0.2">
      <c r="A1481" s="89"/>
      <c r="B1481" s="257" t="s">
        <v>1172</v>
      </c>
      <c r="C1481" s="184" t="s">
        <v>1174</v>
      </c>
      <c r="D1481" s="102"/>
      <c r="E1481" s="71"/>
      <c r="F1481" s="74"/>
      <c r="G1481" s="74"/>
      <c r="H1481" s="74"/>
      <c r="I1481" s="71"/>
      <c r="J1481" s="73"/>
      <c r="K1481" s="74"/>
      <c r="L1481" s="142"/>
      <c r="M1481" s="142"/>
      <c r="N1481" s="153"/>
      <c r="O1481" s="153">
        <v>1175</v>
      </c>
      <c r="P1481" s="155">
        <v>3000</v>
      </c>
      <c r="Q1481" s="87"/>
      <c r="R1481" s="258">
        <f>SUM(P1480:P1485)</f>
        <v>25000</v>
      </c>
      <c r="S1481" s="171" t="s">
        <v>1399</v>
      </c>
    </row>
    <row r="1482" spans="1:25" ht="14.1" customHeight="1" x14ac:dyDescent="0.2">
      <c r="A1482" s="89"/>
      <c r="B1482" s="257" t="s">
        <v>1172</v>
      </c>
      <c r="C1482" s="184" t="s">
        <v>1175</v>
      </c>
      <c r="D1482" s="102"/>
      <c r="E1482" s="71"/>
      <c r="F1482" s="74"/>
      <c r="G1482" s="74"/>
      <c r="H1482" s="74"/>
      <c r="I1482" s="71"/>
      <c r="J1482" s="73"/>
      <c r="K1482" s="74"/>
      <c r="L1482" s="142"/>
      <c r="M1482" s="142"/>
      <c r="N1482" s="153"/>
      <c r="O1482" s="153">
        <v>551</v>
      </c>
      <c r="P1482" s="155">
        <v>2000</v>
      </c>
      <c r="Q1482" s="87"/>
      <c r="R1482" s="203"/>
    </row>
    <row r="1483" spans="1:25" ht="14.1" customHeight="1" x14ac:dyDescent="0.2">
      <c r="A1483" s="89"/>
      <c r="B1483" s="257" t="s">
        <v>1172</v>
      </c>
      <c r="C1483" s="184" t="s">
        <v>1176</v>
      </c>
      <c r="D1483" s="102"/>
      <c r="E1483" s="71"/>
      <c r="F1483" s="74"/>
      <c r="G1483" s="74"/>
      <c r="H1483" s="74"/>
      <c r="I1483" s="71"/>
      <c r="J1483" s="73"/>
      <c r="K1483" s="74"/>
      <c r="L1483" s="142"/>
      <c r="M1483" s="142"/>
      <c r="N1483" s="153"/>
      <c r="O1483" s="153">
        <v>7641</v>
      </c>
      <c r="P1483" s="155">
        <v>10000</v>
      </c>
      <c r="Q1483" s="87"/>
      <c r="R1483" s="203"/>
    </row>
    <row r="1484" spans="1:25" ht="14.1" customHeight="1" x14ac:dyDescent="0.2">
      <c r="A1484" s="89"/>
      <c r="B1484" s="257" t="s">
        <v>1172</v>
      </c>
      <c r="C1484" s="184" t="s">
        <v>1177</v>
      </c>
      <c r="D1484" s="102"/>
      <c r="E1484" s="71"/>
      <c r="F1484" s="74"/>
      <c r="G1484" s="74"/>
      <c r="H1484" s="74"/>
      <c r="I1484" s="71"/>
      <c r="J1484" s="73"/>
      <c r="K1484" s="74"/>
      <c r="L1484" s="142"/>
      <c r="M1484" s="142"/>
      <c r="N1484" s="153"/>
      <c r="O1484" s="153">
        <v>4719</v>
      </c>
      <c r="P1484" s="155">
        <v>6000</v>
      </c>
      <c r="Q1484" s="87"/>
      <c r="R1484" s="203"/>
    </row>
    <row r="1485" spans="1:25" ht="14.1" customHeight="1" x14ac:dyDescent="0.2">
      <c r="A1485" s="89"/>
      <c r="B1485" s="257" t="s">
        <v>1172</v>
      </c>
      <c r="C1485" s="184" t="s">
        <v>1178</v>
      </c>
      <c r="D1485" s="102"/>
      <c r="E1485" s="71"/>
      <c r="F1485" s="74"/>
      <c r="G1485" s="74"/>
      <c r="H1485" s="74"/>
      <c r="I1485" s="71"/>
      <c r="J1485" s="73"/>
      <c r="K1485" s="74"/>
      <c r="L1485" s="142"/>
      <c r="M1485" s="142"/>
      <c r="N1485" s="153"/>
      <c r="O1485" s="153">
        <v>147</v>
      </c>
      <c r="P1485" s="155">
        <v>3000</v>
      </c>
      <c r="Q1485" s="87"/>
      <c r="R1485" s="203"/>
    </row>
    <row r="1486" spans="1:25" ht="14.1" customHeight="1" x14ac:dyDescent="0.2">
      <c r="A1486" s="89"/>
      <c r="B1486" s="256">
        <v>4137</v>
      </c>
      <c r="C1486" s="259" t="s">
        <v>452</v>
      </c>
      <c r="D1486" s="102">
        <v>7000</v>
      </c>
      <c r="E1486" s="71"/>
      <c r="F1486" s="74">
        <f t="shared" si="836"/>
        <v>7000</v>
      </c>
      <c r="G1486" s="74"/>
      <c r="H1486" s="74">
        <f t="shared" si="841"/>
        <v>7000</v>
      </c>
      <c r="I1486" s="71">
        <v>3854</v>
      </c>
      <c r="J1486" s="73">
        <v>7000</v>
      </c>
      <c r="K1486" s="74"/>
      <c r="L1486" s="142">
        <v>7000</v>
      </c>
      <c r="M1486" s="142"/>
      <c r="N1486" s="142">
        <f>+L1486+M1486</f>
        <v>7000</v>
      </c>
      <c r="O1486" s="142">
        <v>4760</v>
      </c>
      <c r="P1486" s="142">
        <v>7000</v>
      </c>
      <c r="Q1486" s="87">
        <f t="shared" si="837"/>
        <v>0</v>
      </c>
      <c r="R1486" s="203"/>
    </row>
    <row r="1487" spans="1:25" ht="14.1" customHeight="1" x14ac:dyDescent="0.2">
      <c r="A1487" s="184"/>
      <c r="B1487" s="95">
        <v>50</v>
      </c>
      <c r="C1487" s="96" t="s">
        <v>102</v>
      </c>
      <c r="D1487" s="102">
        <v>12435</v>
      </c>
      <c r="E1487" s="71"/>
      <c r="F1487" s="74">
        <f>+E1487+D1487</f>
        <v>12435</v>
      </c>
      <c r="G1487" s="74"/>
      <c r="H1487" s="74">
        <f>+G1487+F1487</f>
        <v>12435</v>
      </c>
      <c r="I1487" s="71">
        <v>5909</v>
      </c>
      <c r="J1487" s="73">
        <v>12435</v>
      </c>
      <c r="K1487" s="74"/>
      <c r="L1487" s="140">
        <v>12435</v>
      </c>
      <c r="M1487" s="140"/>
      <c r="N1487" s="140">
        <f>+L1487+M1487</f>
        <v>12435</v>
      </c>
      <c r="O1487" s="140">
        <v>16745</v>
      </c>
      <c r="P1487" s="67">
        <v>16745</v>
      </c>
      <c r="Q1487" s="87">
        <f>(P1487-N1487)/N1487</f>
        <v>0.34660233212706071</v>
      </c>
      <c r="R1487" s="203" t="s">
        <v>1381</v>
      </c>
    </row>
    <row r="1488" spans="1:25" ht="14.1" customHeight="1" x14ac:dyDescent="0.2">
      <c r="A1488" s="89"/>
      <c r="B1488" s="95">
        <v>55</v>
      </c>
      <c r="C1488" s="96" t="s">
        <v>104</v>
      </c>
      <c r="D1488" s="102"/>
      <c r="E1488" s="71"/>
      <c r="F1488" s="74"/>
      <c r="G1488" s="74"/>
      <c r="H1488" s="74"/>
      <c r="I1488" s="71"/>
      <c r="J1488" s="73"/>
      <c r="K1488" s="74"/>
      <c r="L1488" s="142"/>
      <c r="M1488" s="142"/>
      <c r="N1488" s="141">
        <v>58000</v>
      </c>
      <c r="O1488" s="141">
        <f>O1489+O1490</f>
        <v>14474</v>
      </c>
      <c r="P1488" s="141">
        <f>P1489+P1490</f>
        <v>47470</v>
      </c>
      <c r="Q1488" s="87"/>
      <c r="R1488" s="203"/>
    </row>
    <row r="1489" spans="1:25" ht="14.1" customHeight="1" x14ac:dyDescent="0.2">
      <c r="A1489" s="89"/>
      <c r="B1489" s="256">
        <v>5513</v>
      </c>
      <c r="C1489" s="72" t="s">
        <v>407</v>
      </c>
      <c r="D1489" s="102"/>
      <c r="E1489" s="71"/>
      <c r="F1489" s="74"/>
      <c r="G1489" s="74"/>
      <c r="H1489" s="74"/>
      <c r="I1489" s="71">
        <v>26</v>
      </c>
      <c r="J1489" s="73"/>
      <c r="K1489" s="74"/>
      <c r="L1489" s="74"/>
      <c r="M1489" s="74"/>
      <c r="N1489" s="74">
        <f>+L1489+M1489</f>
        <v>0</v>
      </c>
      <c r="O1489" s="74"/>
      <c r="P1489" s="67">
        <f>+M1489+N1489</f>
        <v>0</v>
      </c>
      <c r="Q1489" s="87" t="e">
        <f t="shared" si="837"/>
        <v>#DIV/0!</v>
      </c>
      <c r="R1489" s="203"/>
    </row>
    <row r="1490" spans="1:25" ht="14.1" customHeight="1" x14ac:dyDescent="0.2">
      <c r="A1490" s="89"/>
      <c r="B1490" s="256">
        <v>5526</v>
      </c>
      <c r="C1490" s="250" t="s">
        <v>453</v>
      </c>
      <c r="D1490" s="102">
        <v>57755</v>
      </c>
      <c r="E1490" s="71"/>
      <c r="F1490" s="74">
        <f t="shared" ref="F1490:F1520" si="842">+E1490+D1490</f>
        <v>57755</v>
      </c>
      <c r="G1490" s="74"/>
      <c r="H1490" s="74">
        <f t="shared" si="841"/>
        <v>57755</v>
      </c>
      <c r="I1490" s="71">
        <v>24452</v>
      </c>
      <c r="J1490" s="73">
        <v>58000</v>
      </c>
      <c r="K1490" s="74"/>
      <c r="L1490" s="74">
        <v>58000</v>
      </c>
      <c r="M1490" s="74"/>
      <c r="N1490" s="74"/>
      <c r="O1490" s="74">
        <f>SUM(O1491:O1492)</f>
        <v>14474</v>
      </c>
      <c r="P1490" s="67">
        <f>SUM(P1491)</f>
        <v>47470</v>
      </c>
      <c r="Q1490" s="87" t="e">
        <f t="shared" si="837"/>
        <v>#DIV/0!</v>
      </c>
      <c r="R1490" s="203"/>
    </row>
    <row r="1491" spans="1:25" ht="89.25" x14ac:dyDescent="0.2">
      <c r="A1491" s="89"/>
      <c r="B1491" s="256"/>
      <c r="C1491" s="251" t="s">
        <v>1168</v>
      </c>
      <c r="D1491" s="102"/>
      <c r="E1491" s="71"/>
      <c r="F1491" s="74"/>
      <c r="G1491" s="74"/>
      <c r="H1491" s="74"/>
      <c r="I1491" s="71"/>
      <c r="J1491" s="73"/>
      <c r="K1491" s="74"/>
      <c r="L1491" s="74"/>
      <c r="M1491" s="74"/>
      <c r="N1491" s="153"/>
      <c r="O1491" s="153"/>
      <c r="P1491" s="155">
        <v>47470</v>
      </c>
      <c r="Q1491" s="87"/>
      <c r="R1491" s="206" t="s">
        <v>1254</v>
      </c>
    </row>
    <row r="1492" spans="1:25" ht="12.95" customHeight="1" x14ac:dyDescent="0.2">
      <c r="A1492" s="89"/>
      <c r="B1492" s="256"/>
      <c r="C1492" s="251" t="s">
        <v>1563</v>
      </c>
      <c r="D1492" s="102"/>
      <c r="E1492" s="71"/>
      <c r="F1492" s="74"/>
      <c r="G1492" s="74"/>
      <c r="H1492" s="74"/>
      <c r="I1492" s="71"/>
      <c r="J1492" s="73"/>
      <c r="K1492" s="74"/>
      <c r="L1492" s="74"/>
      <c r="M1492" s="74"/>
      <c r="N1492" s="153"/>
      <c r="O1492" s="153">
        <v>14474</v>
      </c>
      <c r="P1492" s="155"/>
      <c r="Q1492" s="87"/>
      <c r="R1492" s="206"/>
    </row>
    <row r="1493" spans="1:25" ht="12.75" hidden="1" x14ac:dyDescent="0.2">
      <c r="A1493" s="89" t="s">
        <v>454</v>
      </c>
      <c r="B1493" s="256">
        <v>4130</v>
      </c>
      <c r="C1493" s="250" t="s">
        <v>455</v>
      </c>
      <c r="D1493" s="102">
        <v>0</v>
      </c>
      <c r="E1493" s="71"/>
      <c r="F1493" s="74">
        <f t="shared" si="842"/>
        <v>0</v>
      </c>
      <c r="G1493" s="74"/>
      <c r="H1493" s="74">
        <f t="shared" si="841"/>
        <v>0</v>
      </c>
      <c r="I1493" s="71"/>
      <c r="J1493" s="73"/>
      <c r="K1493" s="74"/>
      <c r="L1493" s="142"/>
      <c r="M1493" s="142"/>
      <c r="N1493" s="74"/>
      <c r="O1493" s="74"/>
      <c r="P1493" s="67"/>
      <c r="Q1493" s="87" t="e">
        <f t="shared" si="837"/>
        <v>#DIV/0!</v>
      </c>
      <c r="R1493" s="203"/>
    </row>
    <row r="1494" spans="1:25" ht="12.75" hidden="1" x14ac:dyDescent="0.2">
      <c r="A1494" s="89" t="s">
        <v>456</v>
      </c>
      <c r="B1494" s="90">
        <v>4133</v>
      </c>
      <c r="C1494" s="260" t="s">
        <v>457</v>
      </c>
      <c r="D1494" s="102">
        <v>0</v>
      </c>
      <c r="E1494" s="71"/>
      <c r="F1494" s="74">
        <f t="shared" si="842"/>
        <v>0</v>
      </c>
      <c r="G1494" s="74"/>
      <c r="H1494" s="74">
        <f t="shared" si="841"/>
        <v>0</v>
      </c>
      <c r="I1494" s="71"/>
      <c r="J1494" s="73"/>
      <c r="K1494" s="74"/>
      <c r="L1494" s="142"/>
      <c r="M1494" s="142"/>
      <c r="N1494" s="74"/>
      <c r="O1494" s="74"/>
      <c r="P1494" s="67"/>
      <c r="Q1494" s="87" t="e">
        <f t="shared" si="837"/>
        <v>#DIV/0!</v>
      </c>
      <c r="R1494" s="203"/>
    </row>
    <row r="1495" spans="1:25" ht="12.75" hidden="1" x14ac:dyDescent="0.2">
      <c r="A1495" s="89" t="s">
        <v>458</v>
      </c>
      <c r="B1495" s="90" t="s">
        <v>459</v>
      </c>
      <c r="C1495" s="72" t="s">
        <v>460</v>
      </c>
      <c r="D1495" s="102">
        <v>0</v>
      </c>
      <c r="E1495" s="71"/>
      <c r="F1495" s="74">
        <f t="shared" si="842"/>
        <v>0</v>
      </c>
      <c r="G1495" s="74"/>
      <c r="H1495" s="74">
        <f t="shared" si="841"/>
        <v>0</v>
      </c>
      <c r="I1495" s="71"/>
      <c r="J1495" s="73"/>
      <c r="K1495" s="74"/>
      <c r="L1495" s="142"/>
      <c r="M1495" s="142"/>
      <c r="N1495" s="74"/>
      <c r="O1495" s="74"/>
      <c r="P1495" s="67"/>
      <c r="Q1495" s="87" t="e">
        <f t="shared" si="837"/>
        <v>#DIV/0!</v>
      </c>
      <c r="R1495" s="203"/>
    </row>
    <row r="1496" spans="1:25" s="53" customFormat="1" ht="14.1" customHeight="1" x14ac:dyDescent="0.2">
      <c r="A1496" s="146" t="s">
        <v>461</v>
      </c>
      <c r="B1496" s="147"/>
      <c r="C1496" s="148" t="s">
        <v>462</v>
      </c>
      <c r="D1496" s="149">
        <v>21000</v>
      </c>
      <c r="E1496" s="151"/>
      <c r="F1496" s="137">
        <f t="shared" si="842"/>
        <v>21000</v>
      </c>
      <c r="G1496" s="137">
        <v>15000</v>
      </c>
      <c r="H1496" s="137">
        <f>+G1496+F1496</f>
        <v>36000</v>
      </c>
      <c r="I1496" s="151">
        <v>31895</v>
      </c>
      <c r="J1496" s="152">
        <v>21000</v>
      </c>
      <c r="K1496" s="137"/>
      <c r="L1496" s="137">
        <f>+L1497</f>
        <v>21000</v>
      </c>
      <c r="M1496" s="137">
        <f t="shared" ref="M1496:P1496" si="843">+M1497</f>
        <v>0</v>
      </c>
      <c r="N1496" s="137">
        <f t="shared" si="843"/>
        <v>21000</v>
      </c>
      <c r="O1496" s="137">
        <f t="shared" si="843"/>
        <v>0</v>
      </c>
      <c r="P1496" s="137">
        <f t="shared" si="843"/>
        <v>10000</v>
      </c>
      <c r="Q1496" s="87">
        <f t="shared" si="837"/>
        <v>-0.52380952380952384</v>
      </c>
      <c r="R1496" s="203"/>
      <c r="U1496" s="56"/>
      <c r="V1496" s="56"/>
      <c r="W1496" s="56"/>
      <c r="X1496" s="56"/>
      <c r="Y1496" s="56"/>
    </row>
    <row r="1497" spans="1:25" s="53" customFormat="1" ht="14.1" customHeight="1" x14ac:dyDescent="0.2">
      <c r="A1497" s="56"/>
      <c r="B1497" s="256">
        <v>5526</v>
      </c>
      <c r="C1497" s="250" t="s">
        <v>653</v>
      </c>
      <c r="D1497" s="56"/>
      <c r="E1497" s="56"/>
      <c r="F1497" s="56"/>
      <c r="G1497" s="56"/>
      <c r="H1497" s="56"/>
      <c r="I1497" s="56"/>
      <c r="J1497" s="56"/>
      <c r="K1497" s="56"/>
      <c r="L1497" s="261">
        <v>21000</v>
      </c>
      <c r="M1497" s="261"/>
      <c r="N1497" s="261">
        <f>+L1497+M1497</f>
        <v>21000</v>
      </c>
      <c r="O1497" s="261">
        <v>0</v>
      </c>
      <c r="P1497" s="262">
        <v>10000</v>
      </c>
      <c r="Q1497" s="87">
        <f t="shared" si="837"/>
        <v>-0.52380952380952384</v>
      </c>
      <c r="R1497" s="204"/>
      <c r="S1497" s="56" t="s">
        <v>729</v>
      </c>
      <c r="U1497" s="56"/>
      <c r="V1497" s="56"/>
      <c r="W1497" s="56"/>
      <c r="X1497" s="56"/>
      <c r="Y1497" s="56"/>
    </row>
    <row r="1498" spans="1:25" s="53" customFormat="1" ht="14.1" customHeight="1" x14ac:dyDescent="0.2">
      <c r="A1498" s="146" t="s">
        <v>468</v>
      </c>
      <c r="B1498" s="147"/>
      <c r="C1498" s="148" t="s">
        <v>469</v>
      </c>
      <c r="D1498" s="149">
        <v>22500</v>
      </c>
      <c r="E1498" s="150"/>
      <c r="F1498" s="137">
        <f t="shared" ref="F1498:F1505" si="844">+E1498+D1498</f>
        <v>22500</v>
      </c>
      <c r="G1498" s="137">
        <f>+G1499</f>
        <v>4600</v>
      </c>
      <c r="H1498" s="137">
        <f>+H1499</f>
        <v>27100</v>
      </c>
      <c r="I1498" s="151">
        <f>+I1499+I1500</f>
        <v>22588</v>
      </c>
      <c r="J1498" s="152">
        <f>+J1499+J1500</f>
        <v>22500</v>
      </c>
      <c r="K1498" s="137"/>
      <c r="L1498" s="137">
        <f>+L1499+L1500</f>
        <v>22500</v>
      </c>
      <c r="M1498" s="137">
        <f t="shared" ref="M1498:N1498" si="845">+M1499+M1500</f>
        <v>0</v>
      </c>
      <c r="N1498" s="137">
        <f t="shared" si="845"/>
        <v>22500</v>
      </c>
      <c r="O1498" s="137">
        <f t="shared" ref="O1498:P1498" si="846">+O1499+O1500</f>
        <v>7281</v>
      </c>
      <c r="P1498" s="137">
        <f t="shared" si="846"/>
        <v>10000</v>
      </c>
      <c r="Q1498" s="87">
        <f t="shared" ref="Q1498:Q1505" si="847">(P1498-N1498)/N1498</f>
        <v>-0.55555555555555558</v>
      </c>
      <c r="R1498" s="203" t="s">
        <v>1180</v>
      </c>
      <c r="S1498" s="56"/>
      <c r="U1498" s="56"/>
      <c r="V1498" s="56"/>
      <c r="W1498" s="56"/>
      <c r="X1498" s="56"/>
      <c r="Y1498" s="56"/>
    </row>
    <row r="1499" spans="1:25" s="53" customFormat="1" ht="14.1" customHeight="1" x14ac:dyDescent="0.2">
      <c r="A1499" s="89"/>
      <c r="B1499" s="95">
        <v>50</v>
      </c>
      <c r="C1499" s="96" t="s">
        <v>102</v>
      </c>
      <c r="D1499" s="43">
        <v>22500</v>
      </c>
      <c r="E1499" s="71"/>
      <c r="F1499" s="74">
        <f t="shared" si="844"/>
        <v>22500</v>
      </c>
      <c r="G1499" s="74">
        <v>4600</v>
      </c>
      <c r="H1499" s="74">
        <f>+G1499+F1499</f>
        <v>27100</v>
      </c>
      <c r="I1499" s="71">
        <v>22300</v>
      </c>
      <c r="J1499" s="73">
        <v>22500</v>
      </c>
      <c r="K1499" s="74"/>
      <c r="L1499" s="140">
        <v>22500</v>
      </c>
      <c r="M1499" s="140"/>
      <c r="N1499" s="140">
        <f>+L1499+M1499</f>
        <v>22500</v>
      </c>
      <c r="O1499" s="140">
        <v>6993</v>
      </c>
      <c r="P1499" s="67">
        <v>10000</v>
      </c>
      <c r="Q1499" s="87">
        <f t="shared" si="847"/>
        <v>-0.55555555555555558</v>
      </c>
      <c r="R1499" s="203" t="s">
        <v>1189</v>
      </c>
      <c r="S1499" s="56"/>
      <c r="U1499" s="56"/>
      <c r="V1499" s="56"/>
      <c r="W1499" s="56"/>
      <c r="X1499" s="56"/>
      <c r="Y1499" s="56"/>
    </row>
    <row r="1500" spans="1:25" s="53" customFormat="1" ht="51" x14ac:dyDescent="0.2">
      <c r="A1500" s="89"/>
      <c r="B1500" s="95">
        <v>55</v>
      </c>
      <c r="C1500" s="96" t="s">
        <v>423</v>
      </c>
      <c r="D1500" s="43"/>
      <c r="E1500" s="71"/>
      <c r="F1500" s="74">
        <f t="shared" si="844"/>
        <v>0</v>
      </c>
      <c r="G1500" s="74"/>
      <c r="H1500" s="74"/>
      <c r="I1500" s="71">
        <f>+I1501+I1502+I1503+I1504+I1505+I1507</f>
        <v>288</v>
      </c>
      <c r="J1500" s="73">
        <f>SUM(J1501:J1507)</f>
        <v>0</v>
      </c>
      <c r="K1500" s="74"/>
      <c r="L1500" s="141">
        <f>+L1501+L1502+L1503+L1504+L1505+L1507</f>
        <v>0</v>
      </c>
      <c r="M1500" s="141">
        <f t="shared" ref="M1500:N1500" si="848">+M1501+M1502+M1503+M1504+M1505+M1507</f>
        <v>0</v>
      </c>
      <c r="N1500" s="141">
        <f t="shared" si="848"/>
        <v>0</v>
      </c>
      <c r="O1500" s="141">
        <f>+O1501+O1502+O1503+O1504+O1505+O1507+O1506</f>
        <v>288</v>
      </c>
      <c r="P1500" s="141">
        <f t="shared" ref="P1500" si="849">+P1501+P1502+P1503+P1504+P1505+P1507</f>
        <v>0</v>
      </c>
      <c r="Q1500" s="87"/>
      <c r="R1500" s="203" t="s">
        <v>1190</v>
      </c>
      <c r="S1500" s="56"/>
      <c r="U1500" s="56"/>
      <c r="V1500" s="56"/>
      <c r="W1500" s="56"/>
      <c r="X1500" s="56"/>
      <c r="Y1500" s="56"/>
    </row>
    <row r="1501" spans="1:25" s="53" customFormat="1" ht="12.75" x14ac:dyDescent="0.2">
      <c r="A1501" s="89"/>
      <c r="B1501" s="90">
        <v>5500</v>
      </c>
      <c r="C1501" s="103" t="s">
        <v>115</v>
      </c>
      <c r="D1501" s="43"/>
      <c r="E1501" s="71"/>
      <c r="F1501" s="74">
        <f t="shared" si="844"/>
        <v>0</v>
      </c>
      <c r="G1501" s="74"/>
      <c r="H1501" s="74"/>
      <c r="I1501" s="71">
        <v>63</v>
      </c>
      <c r="J1501" s="73"/>
      <c r="K1501" s="74"/>
      <c r="L1501" s="74"/>
      <c r="M1501" s="74"/>
      <c r="N1501" s="74"/>
      <c r="O1501" s="74">
        <v>45</v>
      </c>
      <c r="P1501" s="67"/>
      <c r="Q1501" s="87" t="e">
        <f t="shared" si="847"/>
        <v>#DIV/0!</v>
      </c>
      <c r="R1501" s="206"/>
      <c r="S1501" s="56"/>
      <c r="U1501" s="56"/>
      <c r="V1501" s="56"/>
      <c r="W1501" s="56"/>
      <c r="X1501" s="56"/>
      <c r="Y1501" s="56"/>
    </row>
    <row r="1502" spans="1:25" s="53" customFormat="1" ht="12.75" x14ac:dyDescent="0.2">
      <c r="A1502" s="89"/>
      <c r="B1502" s="90">
        <v>5504</v>
      </c>
      <c r="C1502" s="72" t="s">
        <v>118</v>
      </c>
      <c r="D1502" s="43"/>
      <c r="E1502" s="71"/>
      <c r="F1502" s="74">
        <f t="shared" si="844"/>
        <v>0</v>
      </c>
      <c r="G1502" s="74"/>
      <c r="H1502" s="74"/>
      <c r="I1502" s="71"/>
      <c r="J1502" s="73"/>
      <c r="K1502" s="74"/>
      <c r="L1502" s="74"/>
      <c r="M1502" s="74"/>
      <c r="N1502" s="74"/>
      <c r="O1502" s="74"/>
      <c r="P1502" s="67"/>
      <c r="Q1502" s="87" t="e">
        <f t="shared" si="847"/>
        <v>#DIV/0!</v>
      </c>
      <c r="R1502" s="203"/>
      <c r="S1502" s="56"/>
      <c r="U1502" s="56"/>
      <c r="V1502" s="56"/>
      <c r="W1502" s="56"/>
      <c r="X1502" s="56"/>
      <c r="Y1502" s="56"/>
    </row>
    <row r="1503" spans="1:25" s="53" customFormat="1" ht="12.75" x14ac:dyDescent="0.2">
      <c r="A1503" s="89"/>
      <c r="B1503" s="90">
        <v>5511</v>
      </c>
      <c r="C1503" s="72" t="s">
        <v>110</v>
      </c>
      <c r="D1503" s="43"/>
      <c r="E1503" s="71"/>
      <c r="F1503" s="74">
        <f t="shared" si="844"/>
        <v>0</v>
      </c>
      <c r="G1503" s="74"/>
      <c r="H1503" s="74"/>
      <c r="I1503" s="71"/>
      <c r="J1503" s="73"/>
      <c r="K1503" s="74"/>
      <c r="L1503" s="74"/>
      <c r="M1503" s="74"/>
      <c r="N1503" s="74"/>
      <c r="O1503" s="74"/>
      <c r="P1503" s="67"/>
      <c r="Q1503" s="87" t="e">
        <f t="shared" si="847"/>
        <v>#DIV/0!</v>
      </c>
      <c r="R1503" s="203"/>
      <c r="S1503" s="56"/>
      <c r="U1503" s="56"/>
      <c r="V1503" s="56"/>
      <c r="W1503" s="56"/>
      <c r="X1503" s="56"/>
      <c r="Y1503" s="56"/>
    </row>
    <row r="1504" spans="1:25" s="53" customFormat="1" ht="12.75" x14ac:dyDescent="0.2">
      <c r="A1504" s="89"/>
      <c r="B1504" s="90">
        <v>5513</v>
      </c>
      <c r="C1504" s="103" t="s">
        <v>407</v>
      </c>
      <c r="D1504" s="43"/>
      <c r="E1504" s="71"/>
      <c r="F1504" s="74">
        <f t="shared" si="844"/>
        <v>0</v>
      </c>
      <c r="G1504" s="74"/>
      <c r="H1504" s="74"/>
      <c r="I1504" s="71"/>
      <c r="J1504" s="73"/>
      <c r="K1504" s="74"/>
      <c r="L1504" s="74"/>
      <c r="M1504" s="74"/>
      <c r="N1504" s="74"/>
      <c r="O1504" s="74"/>
      <c r="P1504" s="67"/>
      <c r="Q1504" s="87" t="e">
        <f t="shared" si="847"/>
        <v>#DIV/0!</v>
      </c>
      <c r="R1504" s="203"/>
      <c r="S1504" s="56"/>
      <c r="U1504" s="56"/>
      <c r="V1504" s="56"/>
      <c r="W1504" s="56"/>
      <c r="X1504" s="56"/>
      <c r="Y1504" s="56"/>
    </row>
    <row r="1505" spans="1:25" s="53" customFormat="1" ht="12.75" x14ac:dyDescent="0.2">
      <c r="A1505" s="89"/>
      <c r="B1505" s="90">
        <v>5514</v>
      </c>
      <c r="C1505" s="72" t="s">
        <v>112</v>
      </c>
      <c r="D1505" s="43"/>
      <c r="E1505" s="71"/>
      <c r="F1505" s="74">
        <f t="shared" si="844"/>
        <v>0</v>
      </c>
      <c r="G1505" s="74"/>
      <c r="H1505" s="74"/>
      <c r="I1505" s="71">
        <v>200</v>
      </c>
      <c r="J1505" s="73"/>
      <c r="K1505" s="74"/>
      <c r="L1505" s="74"/>
      <c r="M1505" s="74"/>
      <c r="N1505" s="74"/>
      <c r="O1505" s="74">
        <v>200</v>
      </c>
      <c r="P1505" s="67"/>
      <c r="Q1505" s="87" t="e">
        <f t="shared" si="847"/>
        <v>#DIV/0!</v>
      </c>
      <c r="R1505" s="203"/>
      <c r="S1505" s="56"/>
      <c r="U1505" s="56"/>
      <c r="V1505" s="56"/>
      <c r="W1505" s="56"/>
      <c r="X1505" s="56"/>
      <c r="Y1505" s="56"/>
    </row>
    <row r="1506" spans="1:25" s="53" customFormat="1" ht="12.75" x14ac:dyDescent="0.2">
      <c r="A1506" s="89"/>
      <c r="B1506" s="90">
        <v>5515</v>
      </c>
      <c r="C1506" s="72" t="s">
        <v>133</v>
      </c>
      <c r="D1506" s="43"/>
      <c r="E1506" s="71"/>
      <c r="F1506" s="74"/>
      <c r="G1506" s="74"/>
      <c r="H1506" s="74"/>
      <c r="I1506" s="71"/>
      <c r="J1506" s="73"/>
      <c r="K1506" s="74"/>
      <c r="L1506" s="74"/>
      <c r="M1506" s="74"/>
      <c r="N1506" s="74"/>
      <c r="O1506" s="74">
        <v>43</v>
      </c>
      <c r="P1506" s="67"/>
      <c r="Q1506" s="87"/>
      <c r="R1506" s="203"/>
      <c r="S1506" s="56"/>
      <c r="U1506" s="56"/>
      <c r="V1506" s="56"/>
      <c r="W1506" s="56"/>
      <c r="X1506" s="56"/>
      <c r="Y1506" s="56"/>
    </row>
    <row r="1507" spans="1:25" s="53" customFormat="1" ht="12.75" x14ac:dyDescent="0.2">
      <c r="A1507" s="89"/>
      <c r="B1507" s="90">
        <v>5526</v>
      </c>
      <c r="C1507" s="72" t="s">
        <v>470</v>
      </c>
      <c r="D1507" s="43"/>
      <c r="E1507" s="71"/>
      <c r="F1507" s="74">
        <f>+E1507+D1507</f>
        <v>0</v>
      </c>
      <c r="G1507" s="74"/>
      <c r="H1507" s="74"/>
      <c r="I1507" s="71">
        <v>25</v>
      </c>
      <c r="J1507" s="73"/>
      <c r="K1507" s="74"/>
      <c r="L1507" s="74"/>
      <c r="M1507" s="74"/>
      <c r="N1507" s="74"/>
      <c r="O1507" s="74"/>
      <c r="P1507" s="67"/>
      <c r="Q1507" s="87" t="e">
        <f>(P1507-N1507)/N1507</f>
        <v>#DIV/0!</v>
      </c>
      <c r="R1507" s="203"/>
      <c r="S1507" s="56"/>
      <c r="U1507" s="56"/>
      <c r="V1507" s="56"/>
      <c r="W1507" s="56"/>
      <c r="X1507" s="56"/>
      <c r="Y1507" s="56"/>
    </row>
    <row r="1508" spans="1:25" ht="191.25" x14ac:dyDescent="0.2">
      <c r="A1508" s="146" t="s">
        <v>463</v>
      </c>
      <c r="B1508" s="147"/>
      <c r="C1508" s="148" t="s">
        <v>464</v>
      </c>
      <c r="D1508" s="149">
        <v>42515</v>
      </c>
      <c r="E1508" s="150">
        <f>+E1510+E1511</f>
        <v>3000</v>
      </c>
      <c r="F1508" s="137">
        <f t="shared" si="842"/>
        <v>45515</v>
      </c>
      <c r="G1508" s="137">
        <f>+G1510</f>
        <v>1700</v>
      </c>
      <c r="H1508" s="137">
        <f>+H1510+H1511</f>
        <v>47215</v>
      </c>
      <c r="I1508" s="151">
        <f>+I1510+I1511</f>
        <v>42044</v>
      </c>
      <c r="J1508" s="152">
        <f>+J1510+J1511</f>
        <v>60409</v>
      </c>
      <c r="K1508" s="152">
        <f t="shared" ref="K1508:L1508" si="850">+K1510+K1511</f>
        <v>12534</v>
      </c>
      <c r="L1508" s="152">
        <f t="shared" si="850"/>
        <v>72943</v>
      </c>
      <c r="M1508" s="152">
        <f t="shared" ref="M1508" si="851">+M1510+M1511</f>
        <v>7000</v>
      </c>
      <c r="N1508" s="152">
        <f>+N1510+N1511+N1509</f>
        <v>79943</v>
      </c>
      <c r="O1508" s="152">
        <f>+O1510+O1511+O1509</f>
        <v>66581</v>
      </c>
      <c r="P1508" s="152">
        <f>+P1510+P1511+P1509</f>
        <v>85382</v>
      </c>
      <c r="Q1508" s="87">
        <f t="shared" si="837"/>
        <v>6.803597563263826E-2</v>
      </c>
      <c r="R1508" s="203" t="s">
        <v>1181</v>
      </c>
    </row>
    <row r="1509" spans="1:25" ht="14.1" customHeight="1" x14ac:dyDescent="0.2">
      <c r="A1509" s="89"/>
      <c r="B1509" s="90">
        <v>41</v>
      </c>
      <c r="C1509" s="255" t="s">
        <v>1182</v>
      </c>
      <c r="D1509" s="102">
        <v>20000</v>
      </c>
      <c r="E1509" s="71"/>
      <c r="F1509" s="74">
        <f t="shared" si="842"/>
        <v>20000</v>
      </c>
      <c r="G1509" s="74"/>
      <c r="H1509" s="74">
        <f t="shared" ref="H1509" si="852">+G1509+F1509</f>
        <v>20000</v>
      </c>
      <c r="I1509" s="71">
        <v>9092</v>
      </c>
      <c r="J1509" s="73">
        <v>20000</v>
      </c>
      <c r="K1509" s="74"/>
      <c r="L1509" s="142">
        <v>20000</v>
      </c>
      <c r="M1509" s="142"/>
      <c r="N1509" s="142">
        <v>0</v>
      </c>
      <c r="O1509" s="142">
        <v>1417</v>
      </c>
      <c r="P1509" s="142">
        <v>0</v>
      </c>
      <c r="Q1509" s="87"/>
      <c r="R1509" s="206" t="s">
        <v>1191</v>
      </c>
    </row>
    <row r="1510" spans="1:25" ht="14.1" customHeight="1" x14ac:dyDescent="0.2">
      <c r="A1510" s="89"/>
      <c r="B1510" s="95">
        <v>50</v>
      </c>
      <c r="C1510" s="96" t="s">
        <v>102</v>
      </c>
      <c r="D1510" s="43">
        <v>35885</v>
      </c>
      <c r="E1510" s="71"/>
      <c r="F1510" s="74">
        <f t="shared" si="842"/>
        <v>35885</v>
      </c>
      <c r="G1510" s="74">
        <v>1700</v>
      </c>
      <c r="H1510" s="74">
        <f>+G1510+F1510</f>
        <v>37585</v>
      </c>
      <c r="I1510" s="71">
        <v>31258</v>
      </c>
      <c r="J1510" s="73">
        <v>51379</v>
      </c>
      <c r="K1510" s="74"/>
      <c r="L1510" s="140">
        <f>+K1510+J1510</f>
        <v>51379</v>
      </c>
      <c r="M1510" s="140"/>
      <c r="N1510" s="140">
        <f>+M1510+L1510</f>
        <v>51379</v>
      </c>
      <c r="O1510" s="140">
        <v>40701</v>
      </c>
      <c r="P1510" s="67">
        <v>60933</v>
      </c>
      <c r="Q1510" s="87">
        <f t="shared" si="837"/>
        <v>0.18595145876720059</v>
      </c>
      <c r="R1510" s="203" t="s">
        <v>1183</v>
      </c>
      <c r="S1510" s="57"/>
    </row>
    <row r="1511" spans="1:25" ht="14.1" customHeight="1" x14ac:dyDescent="0.2">
      <c r="A1511" s="89"/>
      <c r="B1511" s="95">
        <v>55</v>
      </c>
      <c r="C1511" s="96" t="s">
        <v>465</v>
      </c>
      <c r="D1511" s="43">
        <v>6630</v>
      </c>
      <c r="E1511" s="71">
        <f>+E1512+E1513+E1514+E1525+E1526+E1527+E1528+E1529+E1530+E1531+E1532</f>
        <v>3000</v>
      </c>
      <c r="F1511" s="74">
        <f t="shared" si="842"/>
        <v>9630</v>
      </c>
      <c r="G1511" s="74"/>
      <c r="H1511" s="74">
        <f t="shared" ref="H1511:H1532" si="853">+G1511+F1511</f>
        <v>9630</v>
      </c>
      <c r="I1511" s="71">
        <f>+I1512+I1513+I1514+I1525+I1526+I1527+I1528+I1529+I1530+I1531+I1532</f>
        <v>10786</v>
      </c>
      <c r="J1511" s="73">
        <f>+J1512+J1513+J1514+J1525++J1526+J1527+J1528+J1529+J1530+J1531+J1532</f>
        <v>9030</v>
      </c>
      <c r="K1511" s="73">
        <f t="shared" ref="K1511" si="854">+K1512+K1513+K1514+K1525++K1526+K1527+K1528+K1529+K1530+K1531+K1532</f>
        <v>12534</v>
      </c>
      <c r="L1511" s="166">
        <f>+L1512+L1513+L1514+L1525++L1526+L1527+L1528+L1529+L1530+L1531+L1532</f>
        <v>21564</v>
      </c>
      <c r="M1511" s="166">
        <f t="shared" ref="M1511:N1511" si="855">+M1512+M1513+M1514+M1525++M1526+M1527+M1528+M1529+M1530+M1531+M1532</f>
        <v>7000</v>
      </c>
      <c r="N1511" s="166">
        <f t="shared" si="855"/>
        <v>28564</v>
      </c>
      <c r="O1511" s="166">
        <f t="shared" ref="O1511" si="856">+O1512+O1513+O1514+O1525++O1526+O1527+O1528+O1529+O1530+O1531+O1532</f>
        <v>24463</v>
      </c>
      <c r="P1511" s="166">
        <f t="shared" ref="P1511" si="857">+P1512+P1513+P1514+P1525++P1526+P1527+P1528+P1529+P1530+P1531+P1532</f>
        <v>24449</v>
      </c>
      <c r="Q1511" s="87">
        <f t="shared" si="837"/>
        <v>-0.14406245623862204</v>
      </c>
      <c r="R1511" s="206"/>
    </row>
    <row r="1512" spans="1:25" ht="14.1" customHeight="1" x14ac:dyDescent="0.2">
      <c r="A1512" s="89"/>
      <c r="B1512" s="90">
        <v>5500</v>
      </c>
      <c r="C1512" s="103" t="s">
        <v>115</v>
      </c>
      <c r="D1512" s="102">
        <v>230</v>
      </c>
      <c r="E1512" s="71"/>
      <c r="F1512" s="74">
        <f t="shared" si="842"/>
        <v>230</v>
      </c>
      <c r="G1512" s="74"/>
      <c r="H1512" s="74">
        <f t="shared" si="853"/>
        <v>230</v>
      </c>
      <c r="I1512" s="71">
        <v>351</v>
      </c>
      <c r="J1512" s="73">
        <v>230</v>
      </c>
      <c r="K1512" s="74"/>
      <c r="L1512" s="74">
        <v>230</v>
      </c>
      <c r="M1512" s="74"/>
      <c r="N1512" s="74">
        <f>+L1512+M1512</f>
        <v>230</v>
      </c>
      <c r="O1512" s="74">
        <v>321</v>
      </c>
      <c r="P1512" s="67">
        <v>400</v>
      </c>
      <c r="Q1512" s="87">
        <f t="shared" si="837"/>
        <v>0.73913043478260865</v>
      </c>
      <c r="R1512" s="203"/>
    </row>
    <row r="1513" spans="1:25" ht="14.1" customHeight="1" x14ac:dyDescent="0.2">
      <c r="A1513" s="89"/>
      <c r="B1513" s="90">
        <v>5504</v>
      </c>
      <c r="C1513" s="103" t="s">
        <v>118</v>
      </c>
      <c r="D1513" s="102">
        <v>300</v>
      </c>
      <c r="E1513" s="71"/>
      <c r="F1513" s="74">
        <f t="shared" si="842"/>
        <v>300</v>
      </c>
      <c r="G1513" s="74"/>
      <c r="H1513" s="74">
        <f t="shared" si="853"/>
        <v>300</v>
      </c>
      <c r="I1513" s="71"/>
      <c r="J1513" s="73">
        <v>300</v>
      </c>
      <c r="K1513" s="74"/>
      <c r="L1513" s="74">
        <v>300</v>
      </c>
      <c r="M1513" s="74"/>
      <c r="N1513" s="74">
        <f>+L1513+M1513</f>
        <v>300</v>
      </c>
      <c r="O1513" s="74">
        <v>50</v>
      </c>
      <c r="P1513" s="67">
        <v>900</v>
      </c>
      <c r="Q1513" s="87">
        <f t="shared" si="837"/>
        <v>2</v>
      </c>
      <c r="R1513" s="203"/>
    </row>
    <row r="1514" spans="1:25" ht="14.1" customHeight="1" x14ac:dyDescent="0.2">
      <c r="A1514" s="89"/>
      <c r="B1514" s="90">
        <v>5511</v>
      </c>
      <c r="C1514" s="72" t="s">
        <v>110</v>
      </c>
      <c r="D1514" s="157">
        <v>3100</v>
      </c>
      <c r="E1514" s="158">
        <f>+E1516+E1518+E1520+E1521+E1523+E1524</f>
        <v>3000</v>
      </c>
      <c r="F1514" s="153">
        <f t="shared" si="842"/>
        <v>6100</v>
      </c>
      <c r="G1514" s="153"/>
      <c r="H1514" s="153">
        <f t="shared" si="853"/>
        <v>6100</v>
      </c>
      <c r="I1514" s="158">
        <f>+I1516+I1518+I1520+I1521+I1523+I1524</f>
        <v>8388</v>
      </c>
      <c r="J1514" s="159">
        <f>SUM(J1516:J1524)</f>
        <v>6100</v>
      </c>
      <c r="K1514" s="159">
        <f t="shared" ref="K1514" si="858">SUM(K1516:K1524)</f>
        <v>7534</v>
      </c>
      <c r="L1514" s="74">
        <f>SUM(L1516:L1524)</f>
        <v>13634</v>
      </c>
      <c r="M1514" s="92">
        <f>SUM(M1516:M1524)</f>
        <v>7000</v>
      </c>
      <c r="N1514" s="74">
        <f>SUM(N1515:N1524)</f>
        <v>20634</v>
      </c>
      <c r="O1514" s="74">
        <f>SUM(O1515:O1524)</f>
        <v>19206</v>
      </c>
      <c r="P1514" s="67">
        <f>SUM(P1515:P1524)</f>
        <v>17599</v>
      </c>
      <c r="Q1514" s="87">
        <f t="shared" si="837"/>
        <v>-0.1470873315886401</v>
      </c>
      <c r="R1514" s="206" t="s">
        <v>1544</v>
      </c>
    </row>
    <row r="1515" spans="1:25" ht="14.1" customHeight="1" x14ac:dyDescent="0.2">
      <c r="A1515" s="89"/>
      <c r="B1515" s="90"/>
      <c r="C1515" s="154" t="s">
        <v>424</v>
      </c>
      <c r="D1515" s="157"/>
      <c r="E1515" s="158"/>
      <c r="F1515" s="153"/>
      <c r="G1515" s="153"/>
      <c r="H1515" s="153"/>
      <c r="I1515" s="158"/>
      <c r="J1515" s="159"/>
      <c r="K1515" s="159"/>
      <c r="L1515" s="74"/>
      <c r="M1515" s="92"/>
      <c r="N1515" s="74"/>
      <c r="O1515" s="74"/>
      <c r="P1515" s="155">
        <v>0</v>
      </c>
      <c r="Q1515" s="87" t="e">
        <f t="shared" si="837"/>
        <v>#DIV/0!</v>
      </c>
      <c r="R1515" s="203"/>
    </row>
    <row r="1516" spans="1:25" ht="14.1" customHeight="1" x14ac:dyDescent="0.2">
      <c r="A1516" s="89"/>
      <c r="B1516" s="90"/>
      <c r="C1516" s="154" t="s">
        <v>121</v>
      </c>
      <c r="D1516" s="157">
        <v>2700</v>
      </c>
      <c r="E1516" s="158"/>
      <c r="F1516" s="153">
        <f t="shared" si="842"/>
        <v>2700</v>
      </c>
      <c r="G1516" s="153"/>
      <c r="H1516" s="153">
        <f t="shared" si="853"/>
        <v>2700</v>
      </c>
      <c r="I1516" s="158">
        <v>1269</v>
      </c>
      <c r="J1516" s="159">
        <v>2700</v>
      </c>
      <c r="K1516" s="153"/>
      <c r="L1516" s="153">
        <f t="shared" ref="L1516:L1532" si="859">+K1516+J1516</f>
        <v>2700</v>
      </c>
      <c r="M1516" s="153"/>
      <c r="N1516" s="153">
        <f t="shared" ref="N1516:N1532" si="860">+M1516+L1516</f>
        <v>2700</v>
      </c>
      <c r="O1516" s="153">
        <v>1729</v>
      </c>
      <c r="P1516" s="155">
        <v>0</v>
      </c>
      <c r="Q1516" s="87">
        <f t="shared" si="837"/>
        <v>-1</v>
      </c>
      <c r="R1516" s="203"/>
    </row>
    <row r="1517" spans="1:25" ht="14.1" customHeight="1" x14ac:dyDescent="0.2">
      <c r="A1517" s="89"/>
      <c r="B1517" s="90"/>
      <c r="C1517" s="154" t="s">
        <v>1184</v>
      </c>
      <c r="D1517" s="157"/>
      <c r="E1517" s="158"/>
      <c r="F1517" s="153"/>
      <c r="G1517" s="153"/>
      <c r="H1517" s="153"/>
      <c r="I1517" s="158"/>
      <c r="J1517" s="159"/>
      <c r="K1517" s="153"/>
      <c r="L1517" s="153"/>
      <c r="M1517" s="153"/>
      <c r="N1517" s="153"/>
      <c r="O1517" s="153"/>
      <c r="P1517" s="155">
        <v>0</v>
      </c>
      <c r="Q1517" s="87" t="e">
        <f t="shared" si="837"/>
        <v>#DIV/0!</v>
      </c>
      <c r="R1517" s="203"/>
    </row>
    <row r="1518" spans="1:25" ht="14.1" customHeight="1" x14ac:dyDescent="0.2">
      <c r="A1518" s="89"/>
      <c r="B1518" s="90"/>
      <c r="C1518" s="154" t="s">
        <v>714</v>
      </c>
      <c r="D1518" s="157">
        <v>300</v>
      </c>
      <c r="E1518" s="158"/>
      <c r="F1518" s="153">
        <f t="shared" si="842"/>
        <v>300</v>
      </c>
      <c r="G1518" s="153"/>
      <c r="H1518" s="153">
        <f t="shared" si="853"/>
        <v>300</v>
      </c>
      <c r="I1518" s="158">
        <v>0</v>
      </c>
      <c r="J1518" s="159">
        <v>300</v>
      </c>
      <c r="K1518" s="153"/>
      <c r="L1518" s="153">
        <f t="shared" si="859"/>
        <v>300</v>
      </c>
      <c r="M1518" s="153"/>
      <c r="N1518" s="153">
        <f t="shared" si="860"/>
        <v>300</v>
      </c>
      <c r="O1518" s="153">
        <v>246</v>
      </c>
      <c r="P1518" s="155">
        <v>100</v>
      </c>
      <c r="Q1518" s="87">
        <f t="shared" si="837"/>
        <v>-0.66666666666666663</v>
      </c>
      <c r="R1518" s="203"/>
    </row>
    <row r="1519" spans="1:25" ht="14.1" customHeight="1" x14ac:dyDescent="0.2">
      <c r="A1519" s="89"/>
      <c r="B1519" s="90"/>
      <c r="C1519" s="154" t="s">
        <v>124</v>
      </c>
      <c r="D1519" s="157"/>
      <c r="E1519" s="158"/>
      <c r="F1519" s="153"/>
      <c r="G1519" s="153"/>
      <c r="H1519" s="153"/>
      <c r="I1519" s="158"/>
      <c r="J1519" s="159"/>
      <c r="K1519" s="153"/>
      <c r="L1519" s="153"/>
      <c r="M1519" s="153"/>
      <c r="N1519" s="153"/>
      <c r="O1519" s="153">
        <v>85</v>
      </c>
      <c r="P1519" s="155"/>
      <c r="Q1519" s="87"/>
      <c r="R1519" s="203"/>
    </row>
    <row r="1520" spans="1:25" ht="14.1" customHeight="1" x14ac:dyDescent="0.2">
      <c r="A1520" s="89"/>
      <c r="B1520" s="90"/>
      <c r="C1520" s="154" t="s">
        <v>125</v>
      </c>
      <c r="D1520" s="157">
        <v>100</v>
      </c>
      <c r="E1520" s="158"/>
      <c r="F1520" s="153">
        <f t="shared" si="842"/>
        <v>100</v>
      </c>
      <c r="G1520" s="153"/>
      <c r="H1520" s="153">
        <f t="shared" si="853"/>
        <v>100</v>
      </c>
      <c r="I1520" s="158">
        <v>233</v>
      </c>
      <c r="J1520" s="159">
        <v>100</v>
      </c>
      <c r="K1520" s="153"/>
      <c r="L1520" s="153">
        <f t="shared" si="859"/>
        <v>100</v>
      </c>
      <c r="M1520" s="153"/>
      <c r="N1520" s="153">
        <f t="shared" si="860"/>
        <v>100</v>
      </c>
      <c r="O1520" s="153"/>
      <c r="P1520" s="155"/>
      <c r="Q1520" s="87">
        <f t="shared" si="837"/>
        <v>-1</v>
      </c>
      <c r="R1520" s="203"/>
    </row>
    <row r="1521" spans="1:18" ht="14.1" customHeight="1" x14ac:dyDescent="0.2">
      <c r="A1521" s="89"/>
      <c r="B1521" s="90"/>
      <c r="C1521" s="154" t="s">
        <v>282</v>
      </c>
      <c r="D1521" s="157"/>
      <c r="E1521" s="158">
        <v>3000</v>
      </c>
      <c r="F1521" s="153">
        <v>3000</v>
      </c>
      <c r="G1521" s="153"/>
      <c r="H1521" s="153">
        <v>3000</v>
      </c>
      <c r="I1521" s="158">
        <v>1940</v>
      </c>
      <c r="J1521" s="159">
        <v>3000</v>
      </c>
      <c r="K1521" s="153"/>
      <c r="L1521" s="153">
        <f t="shared" si="859"/>
        <v>3000</v>
      </c>
      <c r="M1521" s="153">
        <v>2000</v>
      </c>
      <c r="N1521" s="153">
        <f t="shared" si="860"/>
        <v>5000</v>
      </c>
      <c r="O1521" s="153">
        <v>7371</v>
      </c>
      <c r="P1521" s="217">
        <v>700</v>
      </c>
      <c r="Q1521" s="87">
        <f t="shared" si="837"/>
        <v>-0.86</v>
      </c>
      <c r="R1521" s="206" t="s">
        <v>1543</v>
      </c>
    </row>
    <row r="1522" spans="1:18" ht="14.1" customHeight="1" x14ac:dyDescent="0.2">
      <c r="A1522" s="89"/>
      <c r="B1522" s="90"/>
      <c r="C1522" s="154" t="s">
        <v>1186</v>
      </c>
      <c r="D1522" s="157"/>
      <c r="E1522" s="158"/>
      <c r="F1522" s="153"/>
      <c r="G1522" s="153"/>
      <c r="H1522" s="153"/>
      <c r="I1522" s="158"/>
      <c r="J1522" s="159"/>
      <c r="K1522" s="153"/>
      <c r="L1522" s="153"/>
      <c r="M1522" s="153"/>
      <c r="N1522" s="153"/>
      <c r="O1522" s="153">
        <v>19</v>
      </c>
      <c r="P1522" s="155">
        <v>339</v>
      </c>
      <c r="Q1522" s="87" t="e">
        <f t="shared" si="837"/>
        <v>#DIV/0!</v>
      </c>
      <c r="R1522" s="206" t="s">
        <v>1545</v>
      </c>
    </row>
    <row r="1523" spans="1:18" ht="14.1" customHeight="1" x14ac:dyDescent="0.2">
      <c r="A1523" s="89"/>
      <c r="B1523" s="90"/>
      <c r="C1523" s="154" t="s">
        <v>730</v>
      </c>
      <c r="D1523" s="157">
        <v>0</v>
      </c>
      <c r="E1523" s="158"/>
      <c r="F1523" s="153">
        <f t="shared" ref="F1523:F1533" si="861">+E1523+D1523</f>
        <v>0</v>
      </c>
      <c r="G1523" s="153"/>
      <c r="H1523" s="153">
        <f t="shared" si="853"/>
        <v>0</v>
      </c>
      <c r="I1523" s="158"/>
      <c r="J1523" s="159"/>
      <c r="K1523" s="153">
        <v>7534</v>
      </c>
      <c r="L1523" s="153">
        <f t="shared" si="859"/>
        <v>7534</v>
      </c>
      <c r="M1523" s="153">
        <v>5000</v>
      </c>
      <c r="N1523" s="153">
        <f t="shared" si="860"/>
        <v>12534</v>
      </c>
      <c r="O1523" s="153"/>
      <c r="P1523" s="155">
        <v>16460</v>
      </c>
      <c r="Q1523" s="87">
        <f t="shared" si="837"/>
        <v>0.31322801978618159</v>
      </c>
      <c r="R1523" s="206" t="s">
        <v>1185</v>
      </c>
    </row>
    <row r="1524" spans="1:18" ht="14.1" customHeight="1" x14ac:dyDescent="0.2">
      <c r="A1524" s="89"/>
      <c r="B1524" s="90"/>
      <c r="C1524" s="154" t="s">
        <v>466</v>
      </c>
      <c r="D1524" s="157">
        <v>0</v>
      </c>
      <c r="E1524" s="158"/>
      <c r="F1524" s="153">
        <f t="shared" si="861"/>
        <v>0</v>
      </c>
      <c r="G1524" s="153"/>
      <c r="H1524" s="153">
        <f t="shared" si="853"/>
        <v>0</v>
      </c>
      <c r="I1524" s="158">
        <v>4946</v>
      </c>
      <c r="J1524" s="159"/>
      <c r="K1524" s="153"/>
      <c r="L1524" s="153">
        <f t="shared" si="859"/>
        <v>0</v>
      </c>
      <c r="M1524" s="153"/>
      <c r="N1524" s="153">
        <f t="shared" si="860"/>
        <v>0</v>
      </c>
      <c r="O1524" s="153">
        <v>9756</v>
      </c>
      <c r="P1524" s="155">
        <f>+N1524+M1524</f>
        <v>0</v>
      </c>
      <c r="Q1524" s="87" t="e">
        <f t="shared" si="837"/>
        <v>#DIV/0!</v>
      </c>
      <c r="R1524" s="203"/>
    </row>
    <row r="1525" spans="1:18" ht="14.1" customHeight="1" x14ac:dyDescent="0.2">
      <c r="A1525" s="89"/>
      <c r="B1525" s="90">
        <v>5513</v>
      </c>
      <c r="C1525" s="103" t="s">
        <v>407</v>
      </c>
      <c r="D1525" s="102">
        <v>0</v>
      </c>
      <c r="E1525" s="71"/>
      <c r="F1525" s="74">
        <f t="shared" si="861"/>
        <v>0</v>
      </c>
      <c r="G1525" s="74"/>
      <c r="H1525" s="74">
        <f t="shared" si="853"/>
        <v>0</v>
      </c>
      <c r="I1525" s="71"/>
      <c r="J1525" s="73"/>
      <c r="K1525" s="74">
        <v>5000</v>
      </c>
      <c r="L1525" s="74">
        <f t="shared" si="859"/>
        <v>5000</v>
      </c>
      <c r="M1525" s="74"/>
      <c r="N1525" s="74">
        <f t="shared" si="860"/>
        <v>5000</v>
      </c>
      <c r="O1525" s="74">
        <v>2236</v>
      </c>
      <c r="P1525" s="67">
        <v>4050</v>
      </c>
      <c r="Q1525" s="87">
        <f t="shared" si="837"/>
        <v>-0.19</v>
      </c>
      <c r="R1525" s="203" t="s">
        <v>1187</v>
      </c>
    </row>
    <row r="1526" spans="1:18" ht="14.1" customHeight="1" x14ac:dyDescent="0.2">
      <c r="A1526" s="89"/>
      <c r="B1526" s="90">
        <v>5514</v>
      </c>
      <c r="C1526" s="72" t="s">
        <v>112</v>
      </c>
      <c r="D1526" s="102">
        <v>0</v>
      </c>
      <c r="E1526" s="71"/>
      <c r="F1526" s="74">
        <f t="shared" si="861"/>
        <v>0</v>
      </c>
      <c r="G1526" s="74"/>
      <c r="H1526" s="74">
        <f t="shared" si="853"/>
        <v>0</v>
      </c>
      <c r="I1526" s="71">
        <v>140</v>
      </c>
      <c r="J1526" s="73">
        <v>200</v>
      </c>
      <c r="K1526" s="74"/>
      <c r="L1526" s="74">
        <f t="shared" si="859"/>
        <v>200</v>
      </c>
      <c r="M1526" s="74"/>
      <c r="N1526" s="74">
        <f t="shared" si="860"/>
        <v>200</v>
      </c>
      <c r="O1526" s="74"/>
      <c r="P1526" s="67">
        <v>100</v>
      </c>
      <c r="Q1526" s="87">
        <f t="shared" si="837"/>
        <v>-0.5</v>
      </c>
      <c r="R1526" s="206"/>
    </row>
    <row r="1527" spans="1:18" ht="14.1" customHeight="1" x14ac:dyDescent="0.2">
      <c r="A1527" s="89"/>
      <c r="B1527" s="90">
        <v>5515</v>
      </c>
      <c r="C1527" s="72" t="s">
        <v>133</v>
      </c>
      <c r="D1527" s="102">
        <v>0</v>
      </c>
      <c r="E1527" s="71"/>
      <c r="F1527" s="74">
        <f t="shared" si="861"/>
        <v>0</v>
      </c>
      <c r="G1527" s="74"/>
      <c r="H1527" s="74">
        <f t="shared" si="853"/>
        <v>0</v>
      </c>
      <c r="I1527" s="71">
        <v>413</v>
      </c>
      <c r="J1527" s="73"/>
      <c r="K1527" s="74"/>
      <c r="L1527" s="74">
        <f t="shared" si="859"/>
        <v>0</v>
      </c>
      <c r="M1527" s="74"/>
      <c r="N1527" s="74">
        <f t="shared" si="860"/>
        <v>0</v>
      </c>
      <c r="O1527" s="74">
        <v>920</v>
      </c>
      <c r="P1527" s="67">
        <v>500</v>
      </c>
      <c r="Q1527" s="87" t="e">
        <f t="shared" si="837"/>
        <v>#DIV/0!</v>
      </c>
      <c r="R1527" s="206"/>
    </row>
    <row r="1528" spans="1:18" ht="14.1" customHeight="1" x14ac:dyDescent="0.2">
      <c r="A1528" s="89"/>
      <c r="B1528" s="90">
        <v>5522</v>
      </c>
      <c r="C1528" s="72" t="s">
        <v>137</v>
      </c>
      <c r="D1528" s="102">
        <v>0</v>
      </c>
      <c r="E1528" s="71"/>
      <c r="F1528" s="74">
        <f t="shared" si="861"/>
        <v>0</v>
      </c>
      <c r="G1528" s="74"/>
      <c r="H1528" s="74">
        <f t="shared" si="853"/>
        <v>0</v>
      </c>
      <c r="I1528" s="71">
        <v>470</v>
      </c>
      <c r="J1528" s="73">
        <v>200</v>
      </c>
      <c r="K1528" s="74"/>
      <c r="L1528" s="74">
        <f t="shared" si="859"/>
        <v>200</v>
      </c>
      <c r="M1528" s="74"/>
      <c r="N1528" s="74">
        <f t="shared" si="860"/>
        <v>200</v>
      </c>
      <c r="O1528" s="74">
        <v>227</v>
      </c>
      <c r="P1528" s="67">
        <v>200</v>
      </c>
      <c r="Q1528" s="87">
        <f t="shared" si="837"/>
        <v>0</v>
      </c>
      <c r="R1528" s="206" t="s">
        <v>1188</v>
      </c>
    </row>
    <row r="1529" spans="1:18" ht="14.1" customHeight="1" x14ac:dyDescent="0.2">
      <c r="A1529" s="89"/>
      <c r="B1529" s="90">
        <v>5524</v>
      </c>
      <c r="C1529" s="72" t="s">
        <v>375</v>
      </c>
      <c r="D1529" s="102">
        <v>0</v>
      </c>
      <c r="E1529" s="71"/>
      <c r="F1529" s="74">
        <f t="shared" si="861"/>
        <v>0</v>
      </c>
      <c r="G1529" s="74"/>
      <c r="H1529" s="74">
        <f t="shared" si="853"/>
        <v>0</v>
      </c>
      <c r="I1529" s="71"/>
      <c r="J1529" s="73"/>
      <c r="K1529" s="74"/>
      <c r="L1529" s="74">
        <f t="shared" si="859"/>
        <v>0</v>
      </c>
      <c r="M1529" s="74"/>
      <c r="N1529" s="74">
        <f t="shared" si="860"/>
        <v>0</v>
      </c>
      <c r="O1529" s="74"/>
      <c r="P1529" s="67">
        <f>+N1529+M1529</f>
        <v>0</v>
      </c>
      <c r="Q1529" s="87" t="e">
        <f t="shared" si="837"/>
        <v>#DIV/0!</v>
      </c>
      <c r="R1529" s="206"/>
    </row>
    <row r="1530" spans="1:18" ht="14.1" customHeight="1" x14ac:dyDescent="0.2">
      <c r="A1530" s="89"/>
      <c r="B1530" s="90">
        <v>5525</v>
      </c>
      <c r="C1530" s="103" t="s">
        <v>139</v>
      </c>
      <c r="D1530" s="102">
        <v>500</v>
      </c>
      <c r="E1530" s="71"/>
      <c r="F1530" s="74">
        <f t="shared" si="861"/>
        <v>500</v>
      </c>
      <c r="G1530" s="74"/>
      <c r="H1530" s="74">
        <f t="shared" si="853"/>
        <v>500</v>
      </c>
      <c r="I1530" s="71"/>
      <c r="J1530" s="73">
        <v>500</v>
      </c>
      <c r="K1530" s="74"/>
      <c r="L1530" s="74">
        <f t="shared" si="859"/>
        <v>500</v>
      </c>
      <c r="M1530" s="74"/>
      <c r="N1530" s="74">
        <f t="shared" si="860"/>
        <v>500</v>
      </c>
      <c r="O1530" s="74">
        <v>283</v>
      </c>
      <c r="P1530" s="67">
        <f>+N1530+M1530</f>
        <v>500</v>
      </c>
      <c r="Q1530" s="87">
        <f t="shared" si="837"/>
        <v>0</v>
      </c>
      <c r="R1530" s="206"/>
    </row>
    <row r="1531" spans="1:18" ht="14.1" customHeight="1" x14ac:dyDescent="0.2">
      <c r="A1531" s="89"/>
      <c r="B1531" s="90">
        <v>5526</v>
      </c>
      <c r="C1531" s="103" t="s">
        <v>467</v>
      </c>
      <c r="D1531" s="102">
        <v>2000</v>
      </c>
      <c r="E1531" s="71"/>
      <c r="F1531" s="74">
        <f t="shared" si="861"/>
        <v>2000</v>
      </c>
      <c r="G1531" s="74"/>
      <c r="H1531" s="74">
        <f t="shared" si="853"/>
        <v>2000</v>
      </c>
      <c r="I1531" s="71">
        <v>1024</v>
      </c>
      <c r="J1531" s="73">
        <v>1000</v>
      </c>
      <c r="K1531" s="74"/>
      <c r="L1531" s="74">
        <f t="shared" si="859"/>
        <v>1000</v>
      </c>
      <c r="M1531" s="74"/>
      <c r="N1531" s="74">
        <f t="shared" si="860"/>
        <v>1000</v>
      </c>
      <c r="O1531" s="74">
        <v>1220</v>
      </c>
      <c r="P1531" s="67">
        <v>200</v>
      </c>
      <c r="Q1531" s="87">
        <f t="shared" si="837"/>
        <v>-0.8</v>
      </c>
      <c r="R1531" s="206" t="s">
        <v>1564</v>
      </c>
    </row>
    <row r="1532" spans="1:18" ht="14.1" customHeight="1" x14ac:dyDescent="0.2">
      <c r="A1532" s="89"/>
      <c r="B1532" s="90">
        <v>5540</v>
      </c>
      <c r="C1532" s="72" t="s">
        <v>193</v>
      </c>
      <c r="D1532" s="102">
        <v>500</v>
      </c>
      <c r="E1532" s="71"/>
      <c r="F1532" s="74">
        <f t="shared" si="861"/>
        <v>500</v>
      </c>
      <c r="G1532" s="74"/>
      <c r="H1532" s="74">
        <f t="shared" si="853"/>
        <v>500</v>
      </c>
      <c r="I1532" s="71"/>
      <c r="J1532" s="73">
        <v>500</v>
      </c>
      <c r="K1532" s="74"/>
      <c r="L1532" s="74">
        <f t="shared" si="859"/>
        <v>500</v>
      </c>
      <c r="M1532" s="74"/>
      <c r="N1532" s="74">
        <f t="shared" si="860"/>
        <v>500</v>
      </c>
      <c r="O1532" s="74">
        <v>0</v>
      </c>
      <c r="P1532" s="67">
        <v>0</v>
      </c>
      <c r="Q1532" s="87">
        <f t="shared" si="837"/>
        <v>-1</v>
      </c>
      <c r="R1532" s="203"/>
    </row>
    <row r="1533" spans="1:18" ht="14.1" customHeight="1" x14ac:dyDescent="0.2">
      <c r="A1533" s="146" t="s">
        <v>1565</v>
      </c>
      <c r="B1533" s="147"/>
      <c r="C1533" s="148" t="s">
        <v>471</v>
      </c>
      <c r="D1533" s="149">
        <v>204000</v>
      </c>
      <c r="E1533" s="150"/>
      <c r="F1533" s="137">
        <f t="shared" si="861"/>
        <v>204000</v>
      </c>
      <c r="G1533" s="137">
        <v>0</v>
      </c>
      <c r="H1533" s="137">
        <f>+H1534</f>
        <v>204000</v>
      </c>
      <c r="I1533" s="151">
        <f>+I1534</f>
        <v>170952</v>
      </c>
      <c r="J1533" s="152">
        <f>+J1534</f>
        <v>205000</v>
      </c>
      <c r="K1533" s="137"/>
      <c r="L1533" s="137">
        <f>+L1534</f>
        <v>205000</v>
      </c>
      <c r="M1533" s="137">
        <f t="shared" ref="M1533:P1533" si="862">+M1534</f>
        <v>0</v>
      </c>
      <c r="N1533" s="137">
        <f t="shared" si="862"/>
        <v>205000</v>
      </c>
      <c r="O1533" s="137">
        <f t="shared" si="862"/>
        <v>188088</v>
      </c>
      <c r="P1533" s="137">
        <f t="shared" si="862"/>
        <v>220000</v>
      </c>
      <c r="Q1533" s="87">
        <f t="shared" si="837"/>
        <v>7.3170731707317069E-2</v>
      </c>
      <c r="R1533" s="203"/>
    </row>
    <row r="1534" spans="1:18" ht="12.75" x14ac:dyDescent="0.2">
      <c r="A1534" s="89" t="s">
        <v>472</v>
      </c>
      <c r="B1534" s="90">
        <v>5526</v>
      </c>
      <c r="C1534" s="72" t="s">
        <v>1192</v>
      </c>
      <c r="D1534" s="102">
        <v>204000</v>
      </c>
      <c r="E1534" s="71"/>
      <c r="F1534" s="72">
        <v>204000</v>
      </c>
      <c r="G1534" s="72"/>
      <c r="H1534" s="72">
        <v>204000</v>
      </c>
      <c r="I1534" s="71">
        <v>170952</v>
      </c>
      <c r="J1534" s="73">
        <v>205000</v>
      </c>
      <c r="K1534" s="74"/>
      <c r="L1534" s="141">
        <v>205000</v>
      </c>
      <c r="M1534" s="141"/>
      <c r="N1534" s="141">
        <f>+L1534+M1534</f>
        <v>205000</v>
      </c>
      <c r="O1534" s="141">
        <v>188088</v>
      </c>
      <c r="P1534" s="141">
        <v>220000</v>
      </c>
      <c r="Q1534" s="87">
        <f t="shared" si="837"/>
        <v>7.3170731707317069E-2</v>
      </c>
      <c r="R1534" s="206"/>
    </row>
    <row r="1535" spans="1:18" ht="12.75" hidden="1" x14ac:dyDescent="0.2">
      <c r="A1535" s="146">
        <v>102001</v>
      </c>
      <c r="B1535" s="147"/>
      <c r="C1535" s="148" t="s">
        <v>474</v>
      </c>
      <c r="D1535" s="149">
        <v>0</v>
      </c>
      <c r="E1535" s="150">
        <v>0</v>
      </c>
      <c r="F1535" s="137">
        <f>+E1535+D1535</f>
        <v>0</v>
      </c>
      <c r="G1535" s="137">
        <v>0</v>
      </c>
      <c r="H1535" s="137">
        <v>0</v>
      </c>
      <c r="I1535" s="151">
        <v>0</v>
      </c>
      <c r="J1535" s="162">
        <v>0</v>
      </c>
      <c r="K1535" s="163"/>
      <c r="L1535" s="163">
        <f>+L1536+L1537</f>
        <v>0</v>
      </c>
      <c r="M1535" s="163">
        <f t="shared" ref="M1535:N1535" si="863">+M1536+M1537</f>
        <v>0</v>
      </c>
      <c r="N1535" s="163">
        <f t="shared" si="863"/>
        <v>0</v>
      </c>
      <c r="O1535" s="263"/>
      <c r="Q1535" s="87" t="e">
        <f t="shared" si="837"/>
        <v>#DIV/0!</v>
      </c>
      <c r="R1535" s="203"/>
    </row>
    <row r="1536" spans="1:18" ht="12.75" hidden="1" x14ac:dyDescent="0.2">
      <c r="A1536" s="89"/>
      <c r="B1536" s="95">
        <v>50</v>
      </c>
      <c r="C1536" s="96" t="s">
        <v>102</v>
      </c>
      <c r="D1536" s="43"/>
      <c r="E1536" s="71"/>
      <c r="F1536" s="72"/>
      <c r="G1536" s="72"/>
      <c r="H1536" s="72"/>
      <c r="I1536" s="71"/>
      <c r="J1536" s="73"/>
      <c r="K1536" s="74"/>
      <c r="L1536" s="140">
        <v>0</v>
      </c>
      <c r="M1536" s="140"/>
      <c r="N1536" s="140">
        <f>+L1536+M1536</f>
        <v>0</v>
      </c>
      <c r="O1536" s="264"/>
      <c r="Q1536" s="87" t="e">
        <f t="shared" si="837"/>
        <v>#DIV/0!</v>
      </c>
      <c r="R1536" s="203"/>
    </row>
    <row r="1537" spans="1:27" ht="12.75" hidden="1" x14ac:dyDescent="0.2">
      <c r="A1537" s="89"/>
      <c r="B1537" s="95">
        <v>55</v>
      </c>
      <c r="C1537" s="96" t="s">
        <v>423</v>
      </c>
      <c r="D1537" s="43"/>
      <c r="E1537" s="71"/>
      <c r="F1537" s="72"/>
      <c r="G1537" s="72"/>
      <c r="H1537" s="72"/>
      <c r="I1537" s="71"/>
      <c r="J1537" s="73"/>
      <c r="K1537" s="74"/>
      <c r="L1537" s="141"/>
      <c r="M1537" s="141"/>
      <c r="N1537" s="141">
        <f>+L1537+M1537</f>
        <v>0</v>
      </c>
      <c r="O1537" s="262"/>
      <c r="Q1537" s="87" t="e">
        <f t="shared" si="837"/>
        <v>#DIV/0!</v>
      </c>
      <c r="R1537" s="203"/>
    </row>
    <row r="1538" spans="1:27" ht="12.75" x14ac:dyDescent="0.2">
      <c r="A1538" s="146" t="s">
        <v>475</v>
      </c>
      <c r="B1538" s="147"/>
      <c r="C1538" s="148" t="s">
        <v>476</v>
      </c>
      <c r="D1538" s="149">
        <v>35000</v>
      </c>
      <c r="E1538" s="150"/>
      <c r="F1538" s="137">
        <f t="shared" ref="F1538:F1547" si="864">+E1538+D1538</f>
        <v>35000</v>
      </c>
      <c r="G1538" s="137">
        <f>+G1539</f>
        <v>-20000</v>
      </c>
      <c r="H1538" s="137">
        <f>+G1538+F1538</f>
        <v>15000</v>
      </c>
      <c r="I1538" s="151">
        <f>+I1539+I1540+I1541+I1542</f>
        <v>6608</v>
      </c>
      <c r="J1538" s="152">
        <f>SUM(J1539:J1542)</f>
        <v>35000</v>
      </c>
      <c r="K1538" s="152">
        <f t="shared" ref="K1538" si="865">SUM(K1539:K1542)</f>
        <v>0</v>
      </c>
      <c r="L1538" s="152">
        <f>SUM(L1539:L1542)</f>
        <v>35000</v>
      </c>
      <c r="M1538" s="152">
        <f t="shared" ref="M1538" si="866">SUM(M1539:M1542)</f>
        <v>0</v>
      </c>
      <c r="N1538" s="152">
        <f>SUM(N1539:N1542)</f>
        <v>35000</v>
      </c>
      <c r="O1538" s="152">
        <f>O1539+O1544+O1545</f>
        <v>17847</v>
      </c>
      <c r="P1538" s="152">
        <f>P1539+P1544+P1545</f>
        <v>43000</v>
      </c>
      <c r="Q1538" s="87">
        <f t="shared" si="837"/>
        <v>0.22857142857142856</v>
      </c>
      <c r="R1538" s="203"/>
    </row>
    <row r="1539" spans="1:27" ht="14.1" customHeight="1" x14ac:dyDescent="0.2">
      <c r="A1539" s="89" t="s">
        <v>477</v>
      </c>
      <c r="B1539" s="90">
        <v>4138</v>
      </c>
      <c r="C1539" s="72" t="s">
        <v>1197</v>
      </c>
      <c r="D1539" s="102"/>
      <c r="E1539" s="71"/>
      <c r="F1539" s="74">
        <f t="shared" si="864"/>
        <v>0</v>
      </c>
      <c r="G1539" s="74">
        <v>-20000</v>
      </c>
      <c r="H1539" s="74">
        <v>5000</v>
      </c>
      <c r="I1539" s="71">
        <v>5445</v>
      </c>
      <c r="J1539" s="73">
        <v>20000</v>
      </c>
      <c r="K1539" s="74"/>
      <c r="L1539" s="142">
        <v>20000</v>
      </c>
      <c r="M1539" s="142"/>
      <c r="N1539" s="142">
        <f>+L1539+M1539</f>
        <v>20000</v>
      </c>
      <c r="O1539" s="142">
        <f>SUM(O1540:O1543)</f>
        <v>17847</v>
      </c>
      <c r="P1539" s="142">
        <f>SUM(P1540:P1543)</f>
        <v>29000</v>
      </c>
      <c r="Q1539" s="87">
        <f t="shared" si="837"/>
        <v>0.45</v>
      </c>
      <c r="R1539" s="203"/>
    </row>
    <row r="1540" spans="1:27" ht="14.1" customHeight="1" x14ac:dyDescent="0.2">
      <c r="A1540" s="89"/>
      <c r="B1540" s="90"/>
      <c r="C1540" s="184" t="s">
        <v>1193</v>
      </c>
      <c r="D1540" s="102"/>
      <c r="E1540" s="71"/>
      <c r="F1540" s="74">
        <f t="shared" si="864"/>
        <v>0</v>
      </c>
      <c r="G1540" s="74"/>
      <c r="H1540" s="74"/>
      <c r="I1540" s="71"/>
      <c r="J1540" s="73">
        <v>5000</v>
      </c>
      <c r="K1540" s="74"/>
      <c r="L1540" s="142">
        <v>5000</v>
      </c>
      <c r="M1540" s="142"/>
      <c r="N1540" s="142">
        <f t="shared" ref="N1540:N1542" si="867">+L1540+M1540</f>
        <v>5000</v>
      </c>
      <c r="O1540" s="74">
        <v>13965</v>
      </c>
      <c r="P1540" s="155">
        <v>22000</v>
      </c>
      <c r="Q1540" s="87">
        <f t="shared" si="837"/>
        <v>3.4</v>
      </c>
      <c r="R1540" s="203" t="s">
        <v>1198</v>
      </c>
    </row>
    <row r="1541" spans="1:27" ht="14.1" customHeight="1" x14ac:dyDescent="0.2">
      <c r="A1541" s="89"/>
      <c r="B1541" s="90"/>
      <c r="C1541" s="184" t="s">
        <v>1194</v>
      </c>
      <c r="D1541" s="102"/>
      <c r="E1541" s="71"/>
      <c r="F1541" s="74">
        <f t="shared" si="864"/>
        <v>0</v>
      </c>
      <c r="G1541" s="74"/>
      <c r="H1541" s="74">
        <v>5000</v>
      </c>
      <c r="I1541" s="71">
        <v>366</v>
      </c>
      <c r="J1541" s="73">
        <v>5000</v>
      </c>
      <c r="K1541" s="74"/>
      <c r="L1541" s="142">
        <v>5000</v>
      </c>
      <c r="M1541" s="142"/>
      <c r="N1541" s="142">
        <f t="shared" si="867"/>
        <v>5000</v>
      </c>
      <c r="O1541" s="74">
        <v>2236</v>
      </c>
      <c r="P1541" s="155">
        <v>3000</v>
      </c>
      <c r="Q1541" s="87">
        <f t="shared" si="837"/>
        <v>-0.4</v>
      </c>
      <c r="R1541" s="203"/>
    </row>
    <row r="1542" spans="1:27" ht="14.1" customHeight="1" x14ac:dyDescent="0.2">
      <c r="A1542" s="89"/>
      <c r="B1542" s="90"/>
      <c r="C1542" s="184" t="s">
        <v>1195</v>
      </c>
      <c r="D1542" s="102"/>
      <c r="E1542" s="71"/>
      <c r="F1542" s="74">
        <f t="shared" si="864"/>
        <v>0</v>
      </c>
      <c r="G1542" s="74"/>
      <c r="H1542" s="74">
        <v>5000</v>
      </c>
      <c r="I1542" s="71">
        <v>797</v>
      </c>
      <c r="J1542" s="73">
        <v>5000</v>
      </c>
      <c r="K1542" s="74"/>
      <c r="L1542" s="142">
        <v>5000</v>
      </c>
      <c r="M1542" s="142"/>
      <c r="N1542" s="142">
        <f t="shared" si="867"/>
        <v>5000</v>
      </c>
      <c r="O1542" s="74">
        <v>1196</v>
      </c>
      <c r="P1542" s="155">
        <v>3000</v>
      </c>
      <c r="Q1542" s="87">
        <f t="shared" si="837"/>
        <v>-0.4</v>
      </c>
      <c r="R1542" s="203"/>
    </row>
    <row r="1543" spans="1:27" ht="14.1" customHeight="1" x14ac:dyDescent="0.2">
      <c r="A1543" s="89"/>
      <c r="B1543" s="90"/>
      <c r="C1543" s="184" t="s">
        <v>1196</v>
      </c>
      <c r="D1543" s="102"/>
      <c r="E1543" s="71"/>
      <c r="F1543" s="74"/>
      <c r="G1543" s="74"/>
      <c r="H1543" s="74"/>
      <c r="I1543" s="71"/>
      <c r="J1543" s="73"/>
      <c r="K1543" s="74"/>
      <c r="L1543" s="142"/>
      <c r="M1543" s="142"/>
      <c r="N1543" s="142"/>
      <c r="O1543" s="74">
        <v>450</v>
      </c>
      <c r="P1543" s="155">
        <v>1000</v>
      </c>
      <c r="Q1543" s="87" t="e">
        <f t="shared" si="837"/>
        <v>#DIV/0!</v>
      </c>
      <c r="R1543" s="203"/>
    </row>
    <row r="1544" spans="1:27" ht="14.1" customHeight="1" x14ac:dyDescent="0.2">
      <c r="A1544" s="89"/>
      <c r="B1544" s="95">
        <v>50</v>
      </c>
      <c r="C1544" s="96" t="s">
        <v>102</v>
      </c>
      <c r="D1544" s="102"/>
      <c r="E1544" s="71"/>
      <c r="F1544" s="74"/>
      <c r="G1544" s="74"/>
      <c r="H1544" s="74"/>
      <c r="I1544" s="71"/>
      <c r="J1544" s="73"/>
      <c r="K1544" s="74"/>
      <c r="L1544" s="153"/>
      <c r="M1544" s="153"/>
      <c r="N1544" s="265"/>
      <c r="O1544" s="265"/>
      <c r="P1544" s="67">
        <v>0</v>
      </c>
      <c r="Q1544" s="87" t="e">
        <f t="shared" si="837"/>
        <v>#DIV/0!</v>
      </c>
      <c r="R1544" s="203"/>
    </row>
    <row r="1545" spans="1:27" ht="14.1" customHeight="1" x14ac:dyDescent="0.2">
      <c r="A1545" s="89"/>
      <c r="B1545" s="95">
        <v>55</v>
      </c>
      <c r="C1545" s="96" t="s">
        <v>104</v>
      </c>
      <c r="D1545" s="102"/>
      <c r="E1545" s="71"/>
      <c r="F1545" s="74"/>
      <c r="G1545" s="74"/>
      <c r="H1545" s="74"/>
      <c r="I1545" s="71"/>
      <c r="J1545" s="73"/>
      <c r="K1545" s="74"/>
      <c r="L1545" s="153"/>
      <c r="M1545" s="153"/>
      <c r="N1545" s="266"/>
      <c r="O1545" s="266"/>
      <c r="P1545" s="141">
        <f>P1546</f>
        <v>14000</v>
      </c>
      <c r="Q1545" s="87" t="e">
        <f t="shared" si="837"/>
        <v>#DIV/0!</v>
      </c>
      <c r="R1545" s="203"/>
    </row>
    <row r="1546" spans="1:27" ht="14.1" customHeight="1" x14ac:dyDescent="0.2">
      <c r="A1546" s="89"/>
      <c r="B1546" s="90">
        <v>5525</v>
      </c>
      <c r="C1546" s="103" t="s">
        <v>139</v>
      </c>
      <c r="D1546" s="102"/>
      <c r="E1546" s="71"/>
      <c r="F1546" s="74"/>
      <c r="G1546" s="74"/>
      <c r="H1546" s="74"/>
      <c r="I1546" s="71"/>
      <c r="J1546" s="73"/>
      <c r="K1546" s="74"/>
      <c r="L1546" s="74"/>
      <c r="M1546" s="74"/>
      <c r="N1546" s="74"/>
      <c r="O1546" s="74"/>
      <c r="P1546" s="67">
        <f>11000+3000</f>
        <v>14000</v>
      </c>
      <c r="Q1546" s="87" t="e">
        <f t="shared" si="837"/>
        <v>#DIV/0!</v>
      </c>
      <c r="R1546" s="203" t="s">
        <v>1382</v>
      </c>
    </row>
    <row r="1547" spans="1:27" ht="14.1" customHeight="1" x14ac:dyDescent="0.2">
      <c r="A1547" s="146">
        <v>10400</v>
      </c>
      <c r="B1547" s="147"/>
      <c r="C1547" s="148" t="s">
        <v>478</v>
      </c>
      <c r="D1547" s="149">
        <v>53243</v>
      </c>
      <c r="E1547" s="150">
        <f>+E1550</f>
        <v>4740</v>
      </c>
      <c r="F1547" s="137">
        <f t="shared" si="864"/>
        <v>57983</v>
      </c>
      <c r="G1547" s="137">
        <v>0</v>
      </c>
      <c r="H1547" s="137">
        <f>+H1550</f>
        <v>57983</v>
      </c>
      <c r="I1547" s="151">
        <f>+I1550</f>
        <v>48900</v>
      </c>
      <c r="J1547" s="152">
        <f>+J1550</f>
        <v>53243</v>
      </c>
      <c r="K1547" s="137"/>
      <c r="L1547" s="137">
        <f>+L1550</f>
        <v>53243</v>
      </c>
      <c r="M1547" s="137">
        <f t="shared" ref="M1547:N1547" si="868">+M1550</f>
        <v>0</v>
      </c>
      <c r="N1547" s="137">
        <f t="shared" si="868"/>
        <v>53243</v>
      </c>
      <c r="O1547" s="137">
        <f>O1548+O1550</f>
        <v>28500</v>
      </c>
      <c r="P1547" s="137">
        <f>P1548+P1550</f>
        <v>61793</v>
      </c>
      <c r="Q1547" s="87">
        <f t="shared" si="837"/>
        <v>0.16058448997990346</v>
      </c>
      <c r="R1547" s="203"/>
    </row>
    <row r="1548" spans="1:27" ht="14.1" customHeight="1" x14ac:dyDescent="0.2">
      <c r="A1548" s="94"/>
      <c r="B1548" s="95">
        <v>41</v>
      </c>
      <c r="C1548" s="96" t="s">
        <v>1566</v>
      </c>
      <c r="D1548" s="43"/>
      <c r="E1548" s="71"/>
      <c r="F1548" s="98"/>
      <c r="G1548" s="98"/>
      <c r="H1548" s="98"/>
      <c r="I1548" s="97"/>
      <c r="J1548" s="99"/>
      <c r="K1548" s="98"/>
      <c r="L1548" s="98"/>
      <c r="M1548" s="98"/>
      <c r="N1548" s="139"/>
      <c r="O1548" s="139">
        <f>O1549</f>
        <v>4500</v>
      </c>
      <c r="P1548" s="139"/>
      <c r="Q1548" s="87"/>
      <c r="R1548" s="203"/>
    </row>
    <row r="1549" spans="1:27" ht="14.1" customHeight="1" x14ac:dyDescent="0.2">
      <c r="A1549" s="94"/>
      <c r="B1549" s="185">
        <v>4130</v>
      </c>
      <c r="C1549" s="154" t="s">
        <v>1567</v>
      </c>
      <c r="D1549" s="157"/>
      <c r="E1549" s="158"/>
      <c r="F1549" s="153"/>
      <c r="G1549" s="153"/>
      <c r="H1549" s="153"/>
      <c r="I1549" s="158"/>
      <c r="J1549" s="159"/>
      <c r="K1549" s="153"/>
      <c r="L1549" s="153"/>
      <c r="M1549" s="153"/>
      <c r="N1549" s="153"/>
      <c r="O1549" s="153">
        <v>4500</v>
      </c>
      <c r="P1549" s="155"/>
      <c r="Q1549" s="87"/>
      <c r="R1549" s="203"/>
    </row>
    <row r="1550" spans="1:27" s="167" customFormat="1" ht="14.1" customHeight="1" x14ac:dyDescent="0.2">
      <c r="A1550" s="180"/>
      <c r="B1550" s="95">
        <v>55</v>
      </c>
      <c r="C1550" s="96" t="s">
        <v>104</v>
      </c>
      <c r="D1550" s="102">
        <v>53243</v>
      </c>
      <c r="E1550" s="71">
        <v>4740</v>
      </c>
      <c r="F1550" s="74">
        <v>57983</v>
      </c>
      <c r="G1550" s="74"/>
      <c r="H1550" s="74">
        <v>57983</v>
      </c>
      <c r="I1550" s="71">
        <v>48900</v>
      </c>
      <c r="J1550" s="73">
        <v>53243</v>
      </c>
      <c r="K1550" s="74"/>
      <c r="L1550" s="141">
        <v>53243</v>
      </c>
      <c r="M1550" s="141"/>
      <c r="N1550" s="141">
        <f>+L1550+M1550</f>
        <v>53243</v>
      </c>
      <c r="O1550" s="141">
        <f>O1551</f>
        <v>24000</v>
      </c>
      <c r="P1550" s="141">
        <v>61793</v>
      </c>
      <c r="Q1550" s="87">
        <f t="shared" si="837"/>
        <v>0.16058448997990346</v>
      </c>
      <c r="R1550" s="203"/>
      <c r="S1550" s="169" t="s">
        <v>1145</v>
      </c>
      <c r="T1550" s="56"/>
      <c r="U1550" s="108"/>
      <c r="V1550" s="56"/>
      <c r="W1550" s="56"/>
      <c r="X1550" s="56"/>
      <c r="Y1550" s="56"/>
      <c r="Z1550" s="56"/>
      <c r="AA1550" s="56"/>
    </row>
    <row r="1551" spans="1:27" s="167" customFormat="1" ht="14.1" customHeight="1" x14ac:dyDescent="0.2">
      <c r="A1551" s="180"/>
      <c r="B1551" s="174">
        <v>5526</v>
      </c>
      <c r="C1551" s="103" t="s">
        <v>1263</v>
      </c>
      <c r="D1551" s="102"/>
      <c r="E1551" s="71"/>
      <c r="F1551" s="74"/>
      <c r="G1551" s="74"/>
      <c r="H1551" s="74"/>
      <c r="I1551" s="71"/>
      <c r="J1551" s="73"/>
      <c r="K1551" s="73"/>
      <c r="L1551" s="166"/>
      <c r="M1551" s="166"/>
      <c r="N1551" s="166"/>
      <c r="O1551" s="166">
        <f>O1552</f>
        <v>24000</v>
      </c>
      <c r="P1551" s="127"/>
      <c r="Q1551" s="87"/>
      <c r="R1551" s="203"/>
      <c r="S1551" s="169"/>
      <c r="T1551" s="56"/>
      <c r="U1551" s="108"/>
      <c r="V1551" s="56"/>
      <c r="W1551" s="56"/>
      <c r="X1551" s="56"/>
      <c r="Y1551" s="56"/>
      <c r="Z1551" s="56"/>
      <c r="AA1551" s="56"/>
    </row>
    <row r="1552" spans="1:27" s="167" customFormat="1" ht="14.1" customHeight="1" x14ac:dyDescent="0.2">
      <c r="A1552" s="180"/>
      <c r="B1552" s="174"/>
      <c r="C1552" s="154" t="s">
        <v>1568</v>
      </c>
      <c r="D1552" s="157"/>
      <c r="E1552" s="158"/>
      <c r="F1552" s="153"/>
      <c r="G1552" s="153"/>
      <c r="H1552" s="153"/>
      <c r="I1552" s="158"/>
      <c r="J1552" s="159"/>
      <c r="K1552" s="159"/>
      <c r="L1552" s="159"/>
      <c r="M1552" s="159"/>
      <c r="N1552" s="159"/>
      <c r="O1552" s="159">
        <v>24000</v>
      </c>
      <c r="P1552" s="159"/>
      <c r="Q1552" s="87"/>
      <c r="R1552" s="203"/>
      <c r="S1552" s="169"/>
      <c r="T1552" s="56"/>
      <c r="U1552" s="108"/>
      <c r="V1552" s="56"/>
      <c r="W1552" s="56"/>
      <c r="X1552" s="56"/>
      <c r="Y1552" s="56"/>
      <c r="Z1552" s="56"/>
      <c r="AA1552" s="56"/>
    </row>
    <row r="1553" spans="1:19" ht="14.1" customHeight="1" x14ac:dyDescent="0.2">
      <c r="A1553" s="146" t="s">
        <v>479</v>
      </c>
      <c r="B1553" s="147"/>
      <c r="C1553" s="148" t="s">
        <v>480</v>
      </c>
      <c r="D1553" s="149">
        <v>210548</v>
      </c>
      <c r="E1553" s="150"/>
      <c r="F1553" s="137">
        <f t="shared" ref="F1553:F1584" si="869">+E1553+D1553</f>
        <v>210548</v>
      </c>
      <c r="G1553" s="137">
        <v>0</v>
      </c>
      <c r="H1553" s="137">
        <f>+G1553+F1553</f>
        <v>210548</v>
      </c>
      <c r="I1553" s="151">
        <f>SUM(I1555:I1583)</f>
        <v>154755</v>
      </c>
      <c r="J1553" s="152">
        <f>SUM(J1555:J1583)</f>
        <v>222778</v>
      </c>
      <c r="K1553" s="152">
        <f>SUM(K1555:K1583)</f>
        <v>54690</v>
      </c>
      <c r="L1553" s="152">
        <f>SUM(L1555:L1583)</f>
        <v>277468</v>
      </c>
      <c r="M1553" s="152">
        <f>SUM(M1555:M1583)</f>
        <v>134693</v>
      </c>
      <c r="N1553" s="152">
        <f>SUM(N1554:N1583)</f>
        <v>412161</v>
      </c>
      <c r="O1553" s="152">
        <f>O1554+O1564+O1565+O1566+O1570+O1574+O1575+O1576</f>
        <v>359814</v>
      </c>
      <c r="P1553" s="152">
        <f>P1554+P1564+P1565+P1566+P1570+P1574+P1575+P1576</f>
        <v>331739</v>
      </c>
      <c r="Q1553" s="87">
        <f t="shared" si="837"/>
        <v>-0.19512277969046077</v>
      </c>
      <c r="R1553" s="206"/>
    </row>
    <row r="1554" spans="1:19" ht="14.1" customHeight="1" x14ac:dyDescent="0.2">
      <c r="A1554" s="267"/>
      <c r="B1554" s="268">
        <v>4130</v>
      </c>
      <c r="C1554" s="269" t="s">
        <v>753</v>
      </c>
      <c r="D1554" s="270"/>
      <c r="E1554" s="271"/>
      <c r="F1554" s="139"/>
      <c r="G1554" s="139"/>
      <c r="H1554" s="139"/>
      <c r="I1554" s="270"/>
      <c r="J1554" s="139"/>
      <c r="K1554" s="139"/>
      <c r="L1554" s="139" t="s">
        <v>753</v>
      </c>
      <c r="M1554" s="139"/>
      <c r="N1554" s="142">
        <v>0</v>
      </c>
      <c r="O1554" s="139">
        <f>SUM(O1555:O1563)</f>
        <v>119952</v>
      </c>
      <c r="P1554" s="139">
        <f>SUM(P1555:P1563)</f>
        <v>162500</v>
      </c>
      <c r="Q1554" s="87"/>
      <c r="R1554" s="206"/>
    </row>
    <row r="1555" spans="1:19" ht="14.1" customHeight="1" x14ac:dyDescent="0.2">
      <c r="A1555" s="89"/>
      <c r="B1555" s="272" t="s">
        <v>1199</v>
      </c>
      <c r="C1555" s="184" t="s">
        <v>1200</v>
      </c>
      <c r="D1555" s="102">
        <v>97000</v>
      </c>
      <c r="E1555" s="71"/>
      <c r="F1555" s="74">
        <f t="shared" si="869"/>
        <v>97000</v>
      </c>
      <c r="G1555" s="74"/>
      <c r="H1555" s="74">
        <f>+G1555+F1555</f>
        <v>97000</v>
      </c>
      <c r="I1555" s="71">
        <v>76769</v>
      </c>
      <c r="J1555" s="73">
        <v>97000</v>
      </c>
      <c r="K1555" s="74"/>
      <c r="L1555" s="142">
        <f>+K1555+J1555</f>
        <v>97000</v>
      </c>
      <c r="M1555" s="142"/>
      <c r="N1555" s="142">
        <f t="shared" ref="N1555:N1583" si="870">+M1555+L1555</f>
        <v>97000</v>
      </c>
      <c r="O1555" s="153">
        <v>11245</v>
      </c>
      <c r="P1555" s="67">
        <v>15000</v>
      </c>
      <c r="Q1555" s="87">
        <f t="shared" si="837"/>
        <v>-0.84536082474226804</v>
      </c>
      <c r="R1555" s="203"/>
    </row>
    <row r="1556" spans="1:19" ht="14.1" customHeight="1" x14ac:dyDescent="0.2">
      <c r="A1556" s="89"/>
      <c r="B1556" s="272" t="s">
        <v>152</v>
      </c>
      <c r="C1556" s="184" t="s">
        <v>1201</v>
      </c>
      <c r="D1556" s="102">
        <v>20000</v>
      </c>
      <c r="E1556" s="71"/>
      <c r="F1556" s="74">
        <f t="shared" si="869"/>
        <v>20000</v>
      </c>
      <c r="G1556" s="74"/>
      <c r="H1556" s="74">
        <f t="shared" ref="H1556:H1583" si="871">+G1556+F1556</f>
        <v>20000</v>
      </c>
      <c r="I1556" s="71">
        <v>16037</v>
      </c>
      <c r="J1556" s="73">
        <v>20000</v>
      </c>
      <c r="K1556" s="74"/>
      <c r="L1556" s="142">
        <f t="shared" ref="L1556:L1583" si="872">+K1556+J1556</f>
        <v>20000</v>
      </c>
      <c r="M1556" s="142"/>
      <c r="N1556" s="142">
        <f t="shared" si="870"/>
        <v>20000</v>
      </c>
      <c r="O1556" s="153">
        <v>1170</v>
      </c>
      <c r="P1556" s="67">
        <v>2500</v>
      </c>
      <c r="Q1556" s="87">
        <f t="shared" si="837"/>
        <v>-0.875</v>
      </c>
      <c r="R1556" s="203"/>
    </row>
    <row r="1557" spans="1:19" ht="14.1" customHeight="1" x14ac:dyDescent="0.2">
      <c r="A1557" s="89"/>
      <c r="B1557" s="272" t="s">
        <v>501</v>
      </c>
      <c r="C1557" s="184" t="s">
        <v>1348</v>
      </c>
      <c r="D1557" s="102"/>
      <c r="E1557" s="71"/>
      <c r="F1557" s="74"/>
      <c r="G1557" s="74"/>
      <c r="H1557" s="74"/>
      <c r="I1557" s="71"/>
      <c r="J1557" s="73"/>
      <c r="K1557" s="74"/>
      <c r="L1557" s="142"/>
      <c r="M1557" s="92">
        <v>3300</v>
      </c>
      <c r="N1557" s="142">
        <f t="shared" si="870"/>
        <v>3300</v>
      </c>
      <c r="O1557" s="153">
        <v>7847</v>
      </c>
      <c r="P1557" s="67">
        <v>10000</v>
      </c>
      <c r="Q1557" s="87">
        <f t="shared" si="837"/>
        <v>2.0303030303030303</v>
      </c>
      <c r="R1557" s="203"/>
    </row>
    <row r="1558" spans="1:19" ht="14.1" customHeight="1" x14ac:dyDescent="0.2">
      <c r="A1558" s="89"/>
      <c r="B1558" s="272" t="s">
        <v>506</v>
      </c>
      <c r="C1558" s="184" t="s">
        <v>1202</v>
      </c>
      <c r="D1558" s="102">
        <v>31168</v>
      </c>
      <c r="E1558" s="71"/>
      <c r="F1558" s="74">
        <f t="shared" si="869"/>
        <v>31168</v>
      </c>
      <c r="G1558" s="74"/>
      <c r="H1558" s="74">
        <f t="shared" si="871"/>
        <v>31168</v>
      </c>
      <c r="I1558" s="71">
        <v>10024</v>
      </c>
      <c r="J1558" s="73"/>
      <c r="K1558" s="74"/>
      <c r="L1558" s="142">
        <f t="shared" si="872"/>
        <v>0</v>
      </c>
      <c r="M1558" s="142"/>
      <c r="N1558" s="142">
        <f t="shared" si="870"/>
        <v>0</v>
      </c>
      <c r="O1558" s="153">
        <v>2117</v>
      </c>
      <c r="P1558" s="67">
        <v>3000</v>
      </c>
      <c r="Q1558" s="87" t="e">
        <f t="shared" si="837"/>
        <v>#DIV/0!</v>
      </c>
      <c r="R1558" s="203"/>
    </row>
    <row r="1559" spans="1:19" ht="13.5" customHeight="1" x14ac:dyDescent="0.2">
      <c r="A1559" s="89"/>
      <c r="B1559" s="272" t="s">
        <v>1203</v>
      </c>
      <c r="C1559" s="184" t="s">
        <v>1204</v>
      </c>
      <c r="D1559" s="102"/>
      <c r="E1559" s="71"/>
      <c r="F1559" s="74">
        <f t="shared" si="869"/>
        <v>0</v>
      </c>
      <c r="G1559" s="74"/>
      <c r="H1559" s="74">
        <f t="shared" si="871"/>
        <v>0</v>
      </c>
      <c r="I1559" s="71">
        <v>1403</v>
      </c>
      <c r="J1559" s="73"/>
      <c r="K1559" s="74"/>
      <c r="L1559" s="142">
        <f t="shared" si="872"/>
        <v>0</v>
      </c>
      <c r="M1559" s="142"/>
      <c r="N1559" s="142">
        <f t="shared" si="870"/>
        <v>0</v>
      </c>
      <c r="O1559" s="153">
        <v>72672</v>
      </c>
      <c r="P1559" s="67">
        <v>90000</v>
      </c>
      <c r="Q1559" s="87" t="e">
        <f t="shared" si="837"/>
        <v>#DIV/0!</v>
      </c>
      <c r="R1559" s="203"/>
    </row>
    <row r="1560" spans="1:19" ht="13.5" customHeight="1" x14ac:dyDescent="0.2">
      <c r="A1560" s="89"/>
      <c r="B1560" s="272" t="s">
        <v>1205</v>
      </c>
      <c r="C1560" s="184" t="s">
        <v>1206</v>
      </c>
      <c r="D1560" s="102"/>
      <c r="E1560" s="71"/>
      <c r="F1560" s="74">
        <f t="shared" si="869"/>
        <v>0</v>
      </c>
      <c r="G1560" s="74"/>
      <c r="H1560" s="74">
        <f t="shared" si="871"/>
        <v>0</v>
      </c>
      <c r="I1560" s="71">
        <v>1266</v>
      </c>
      <c r="J1560" s="73"/>
      <c r="K1560" s="74"/>
      <c r="L1560" s="142">
        <f t="shared" si="872"/>
        <v>0</v>
      </c>
      <c r="M1560" s="142"/>
      <c r="N1560" s="142">
        <f t="shared" si="870"/>
        <v>0</v>
      </c>
      <c r="O1560" s="153">
        <v>6300</v>
      </c>
      <c r="P1560" s="67">
        <v>7000</v>
      </c>
      <c r="Q1560" s="87" t="e">
        <f t="shared" si="837"/>
        <v>#DIV/0!</v>
      </c>
      <c r="R1560" s="203"/>
    </row>
    <row r="1561" spans="1:19" ht="13.5" customHeight="1" x14ac:dyDescent="0.2">
      <c r="A1561" s="89"/>
      <c r="B1561" s="272" t="s">
        <v>1207</v>
      </c>
      <c r="C1561" s="184" t="s">
        <v>1208</v>
      </c>
      <c r="D1561" s="102"/>
      <c r="E1561" s="71"/>
      <c r="F1561" s="74">
        <f t="shared" si="869"/>
        <v>0</v>
      </c>
      <c r="G1561" s="74"/>
      <c r="H1561" s="74">
        <f t="shared" si="871"/>
        <v>0</v>
      </c>
      <c r="I1561" s="71">
        <v>628</v>
      </c>
      <c r="J1561" s="73"/>
      <c r="K1561" s="74"/>
      <c r="L1561" s="142">
        <f t="shared" si="872"/>
        <v>0</v>
      </c>
      <c r="M1561" s="142"/>
      <c r="N1561" s="142">
        <f t="shared" si="870"/>
        <v>0</v>
      </c>
      <c r="O1561" s="153">
        <v>1047</v>
      </c>
      <c r="P1561" s="67">
        <v>5000</v>
      </c>
      <c r="Q1561" s="87" t="e">
        <f t="shared" si="837"/>
        <v>#DIV/0!</v>
      </c>
      <c r="R1561" s="203"/>
    </row>
    <row r="1562" spans="1:19" ht="14.1" customHeight="1" x14ac:dyDescent="0.2">
      <c r="A1562" s="89"/>
      <c r="B1562" s="272" t="s">
        <v>1209</v>
      </c>
      <c r="C1562" s="184" t="s">
        <v>1210</v>
      </c>
      <c r="D1562" s="102">
        <v>6000</v>
      </c>
      <c r="E1562" s="71"/>
      <c r="F1562" s="74">
        <f t="shared" si="869"/>
        <v>6000</v>
      </c>
      <c r="G1562" s="74"/>
      <c r="H1562" s="74">
        <f t="shared" si="871"/>
        <v>6000</v>
      </c>
      <c r="I1562" s="71">
        <v>10426</v>
      </c>
      <c r="J1562" s="73">
        <v>6000</v>
      </c>
      <c r="K1562" s="74"/>
      <c r="L1562" s="142">
        <f t="shared" si="872"/>
        <v>6000</v>
      </c>
      <c r="M1562" s="142"/>
      <c r="N1562" s="142">
        <f t="shared" si="870"/>
        <v>6000</v>
      </c>
      <c r="O1562" s="153">
        <v>654</v>
      </c>
      <c r="P1562" s="67">
        <v>10000</v>
      </c>
      <c r="Q1562" s="87">
        <f t="shared" ref="Q1562:Q1619" si="873">(P1562-N1562)/N1562</f>
        <v>0.66666666666666663</v>
      </c>
      <c r="R1562" s="203"/>
    </row>
    <row r="1563" spans="1:19" ht="14.1" customHeight="1" x14ac:dyDescent="0.2">
      <c r="A1563" s="89"/>
      <c r="B1563" s="272" t="s">
        <v>1211</v>
      </c>
      <c r="C1563" s="184" t="s">
        <v>1212</v>
      </c>
      <c r="D1563" s="102">
        <v>3000</v>
      </c>
      <c r="E1563" s="71"/>
      <c r="F1563" s="74">
        <f t="shared" si="869"/>
        <v>3000</v>
      </c>
      <c r="G1563" s="74"/>
      <c r="H1563" s="74">
        <f t="shared" si="871"/>
        <v>3000</v>
      </c>
      <c r="I1563" s="71">
        <v>1581</v>
      </c>
      <c r="J1563" s="73">
        <v>3000</v>
      </c>
      <c r="K1563" s="74"/>
      <c r="L1563" s="142">
        <f t="shared" si="872"/>
        <v>3000</v>
      </c>
      <c r="M1563" s="142"/>
      <c r="N1563" s="142">
        <f t="shared" si="870"/>
        <v>3000</v>
      </c>
      <c r="O1563" s="153">
        <v>16900</v>
      </c>
      <c r="P1563" s="67">
        <v>20000</v>
      </c>
      <c r="Q1563" s="87">
        <f t="shared" si="873"/>
        <v>5.666666666666667</v>
      </c>
      <c r="R1563" s="203"/>
    </row>
    <row r="1564" spans="1:19" ht="14.1" customHeight="1" x14ac:dyDescent="0.2">
      <c r="A1564" s="89"/>
      <c r="B1564" s="90">
        <v>4131</v>
      </c>
      <c r="C1564" s="72" t="s">
        <v>1213</v>
      </c>
      <c r="D1564" s="102"/>
      <c r="E1564" s="71"/>
      <c r="F1564" s="74"/>
      <c r="G1564" s="74"/>
      <c r="H1564" s="74"/>
      <c r="I1564" s="71"/>
      <c r="J1564" s="73"/>
      <c r="K1564" s="74"/>
      <c r="L1564" s="142"/>
      <c r="M1564" s="142"/>
      <c r="N1564" s="142">
        <v>185587</v>
      </c>
      <c r="O1564" s="142">
        <v>186153</v>
      </c>
      <c r="P1564" s="139">
        <v>0</v>
      </c>
      <c r="Q1564" s="87">
        <f>(P1564-N1564)/N1564</f>
        <v>-1</v>
      </c>
      <c r="R1564" s="203"/>
      <c r="S1564" s="108" t="s">
        <v>1347</v>
      </c>
    </row>
    <row r="1565" spans="1:19" ht="14.1" customHeight="1" x14ac:dyDescent="0.2">
      <c r="A1565" s="89"/>
      <c r="B1565" s="90">
        <v>4133</v>
      </c>
      <c r="C1565" s="154" t="s">
        <v>1255</v>
      </c>
      <c r="D1565" s="102"/>
      <c r="E1565" s="71"/>
      <c r="F1565" s="74"/>
      <c r="G1565" s="74"/>
      <c r="H1565" s="74"/>
      <c r="I1565" s="71"/>
      <c r="J1565" s="73"/>
      <c r="K1565" s="74"/>
      <c r="L1565" s="142"/>
      <c r="M1565" s="142"/>
      <c r="N1565" s="142"/>
      <c r="O1565" s="142">
        <v>406</v>
      </c>
      <c r="P1565" s="139">
        <v>1000</v>
      </c>
      <c r="Q1565" s="87" t="e">
        <f>(P1565-N1565)/N1565</f>
        <v>#DIV/0!</v>
      </c>
      <c r="R1565" s="203"/>
    </row>
    <row r="1566" spans="1:19" ht="14.1" customHeight="1" x14ac:dyDescent="0.2">
      <c r="A1566" s="89"/>
      <c r="B1566" s="90">
        <v>4134</v>
      </c>
      <c r="C1566" s="72" t="s">
        <v>1256</v>
      </c>
      <c r="D1566" s="102"/>
      <c r="E1566" s="71"/>
      <c r="F1566" s="74"/>
      <c r="G1566" s="74"/>
      <c r="H1566" s="74"/>
      <c r="I1566" s="71"/>
      <c r="J1566" s="73"/>
      <c r="K1566" s="74"/>
      <c r="L1566" s="142"/>
      <c r="M1566" s="142"/>
      <c r="N1566" s="142"/>
      <c r="O1566" s="139">
        <f>SUM(O1567:O1569)</f>
        <v>4407</v>
      </c>
      <c r="P1566" s="139">
        <f>SUM(P1567:P1569)</f>
        <v>77900</v>
      </c>
      <c r="Q1566" s="87"/>
      <c r="R1566" s="203" t="s">
        <v>1404</v>
      </c>
    </row>
    <row r="1567" spans="1:19" ht="14.1" customHeight="1" x14ac:dyDescent="0.2">
      <c r="A1567" s="89"/>
      <c r="B1567" s="272" t="s">
        <v>1199</v>
      </c>
      <c r="C1567" s="184" t="s">
        <v>1260</v>
      </c>
      <c r="D1567" s="102">
        <v>2000</v>
      </c>
      <c r="E1567" s="71"/>
      <c r="F1567" s="74">
        <f t="shared" si="869"/>
        <v>2000</v>
      </c>
      <c r="G1567" s="74"/>
      <c r="H1567" s="74">
        <f t="shared" si="871"/>
        <v>2000</v>
      </c>
      <c r="I1567" s="71">
        <v>838</v>
      </c>
      <c r="J1567" s="73">
        <v>2000</v>
      </c>
      <c r="K1567" s="74"/>
      <c r="L1567" s="142">
        <f t="shared" si="872"/>
        <v>2000</v>
      </c>
      <c r="M1567" s="142"/>
      <c r="N1567" s="142">
        <f t="shared" si="870"/>
        <v>2000</v>
      </c>
      <c r="O1567" s="153">
        <v>3450</v>
      </c>
      <c r="P1567" s="273">
        <v>75900</v>
      </c>
      <c r="Q1567" s="218">
        <f t="shared" si="873"/>
        <v>36.950000000000003</v>
      </c>
      <c r="R1567" s="206" t="s">
        <v>1259</v>
      </c>
      <c r="S1567" s="108"/>
    </row>
    <row r="1568" spans="1:19" ht="14.1" customHeight="1" x14ac:dyDescent="0.2">
      <c r="A1568" s="89"/>
      <c r="B1568" s="272" t="s">
        <v>501</v>
      </c>
      <c r="C1568" s="184" t="s">
        <v>1257</v>
      </c>
      <c r="D1568" s="102"/>
      <c r="E1568" s="71"/>
      <c r="F1568" s="74"/>
      <c r="G1568" s="74"/>
      <c r="H1568" s="74"/>
      <c r="I1568" s="71"/>
      <c r="J1568" s="73"/>
      <c r="K1568" s="74"/>
      <c r="L1568" s="142"/>
      <c r="M1568" s="142"/>
      <c r="N1568" s="142"/>
      <c r="O1568" s="153">
        <v>957</v>
      </c>
      <c r="P1568" s="67">
        <v>1000</v>
      </c>
      <c r="Q1568" s="87"/>
    </row>
    <row r="1569" spans="1:19" ht="14.1" customHeight="1" x14ac:dyDescent="0.2">
      <c r="A1569" s="89"/>
      <c r="B1569" s="274"/>
      <c r="C1569" s="184" t="s">
        <v>1258</v>
      </c>
      <c r="D1569" s="102"/>
      <c r="E1569" s="71"/>
      <c r="F1569" s="74"/>
      <c r="G1569" s="74"/>
      <c r="H1569" s="74"/>
      <c r="I1569" s="71"/>
      <c r="J1569" s="73"/>
      <c r="K1569" s="74"/>
      <c r="L1569" s="142"/>
      <c r="M1569" s="142"/>
      <c r="N1569" s="142"/>
      <c r="O1569" s="153">
        <v>0</v>
      </c>
      <c r="P1569" s="67">
        <v>1000</v>
      </c>
      <c r="Q1569" s="87"/>
      <c r="R1569" s="203"/>
    </row>
    <row r="1570" spans="1:19" ht="14.1" customHeight="1" x14ac:dyDescent="0.2">
      <c r="A1570" s="89"/>
      <c r="B1570" s="90">
        <v>4138</v>
      </c>
      <c r="C1570" s="72" t="s">
        <v>1197</v>
      </c>
      <c r="D1570" s="102">
        <v>31168</v>
      </c>
      <c r="E1570" s="71"/>
      <c r="F1570" s="74">
        <f t="shared" si="869"/>
        <v>31168</v>
      </c>
      <c r="G1570" s="74"/>
      <c r="H1570" s="74">
        <f t="shared" si="871"/>
        <v>31168</v>
      </c>
      <c r="I1570" s="71">
        <v>27325</v>
      </c>
      <c r="J1570" s="73">
        <v>31168</v>
      </c>
      <c r="K1570" s="74">
        <v>-897</v>
      </c>
      <c r="L1570" s="142">
        <f t="shared" si="872"/>
        <v>30271</v>
      </c>
      <c r="M1570" s="142"/>
      <c r="N1570" s="142"/>
      <c r="O1570" s="139">
        <f>SUM(O1571:O1573)</f>
        <v>28899</v>
      </c>
      <c r="P1570" s="139">
        <f>SUM(P1571:P1573)</f>
        <v>35500</v>
      </c>
      <c r="Q1570" s="87" t="e">
        <f>(P1570-N1570)/N1570</f>
        <v>#DIV/0!</v>
      </c>
      <c r="R1570" s="203"/>
    </row>
    <row r="1571" spans="1:19" ht="14.1" customHeight="1" x14ac:dyDescent="0.2">
      <c r="A1571" s="89"/>
      <c r="B1571" s="90"/>
      <c r="C1571" s="184" t="s">
        <v>1261</v>
      </c>
      <c r="D1571" s="102">
        <v>30000</v>
      </c>
      <c r="E1571" s="71"/>
      <c r="F1571" s="74">
        <f>+E1571+D1571</f>
        <v>30000</v>
      </c>
      <c r="G1571" s="74"/>
      <c r="H1571" s="74">
        <f>+G1571+F1571</f>
        <v>30000</v>
      </c>
      <c r="I1571" s="71">
        <v>59</v>
      </c>
      <c r="J1571" s="73">
        <v>30000</v>
      </c>
      <c r="K1571" s="74"/>
      <c r="L1571" s="142">
        <f>+K1571+J1571</f>
        <v>30000</v>
      </c>
      <c r="M1571" s="92">
        <v>733</v>
      </c>
      <c r="N1571" s="142">
        <v>30271</v>
      </c>
      <c r="O1571" s="153">
        <v>15852</v>
      </c>
      <c r="P1571" s="67">
        <v>20000</v>
      </c>
      <c r="Q1571" s="56"/>
      <c r="R1571" s="56"/>
    </row>
    <row r="1572" spans="1:19" ht="14.1" customHeight="1" x14ac:dyDescent="0.2">
      <c r="A1572" s="89"/>
      <c r="B1572" s="56"/>
      <c r="C1572" s="184" t="s">
        <v>1195</v>
      </c>
      <c r="D1572" s="56"/>
      <c r="E1572" s="56"/>
      <c r="I1572" s="56"/>
      <c r="J1572" s="56"/>
      <c r="K1572" s="56"/>
      <c r="L1572" s="56"/>
      <c r="M1572" s="56"/>
      <c r="N1572" s="74">
        <v>30733</v>
      </c>
      <c r="O1572" s="153">
        <v>84</v>
      </c>
      <c r="P1572" s="67">
        <v>500</v>
      </c>
      <c r="Q1572" s="56"/>
      <c r="R1572" s="203"/>
    </row>
    <row r="1573" spans="1:19" ht="14.1" customHeight="1" x14ac:dyDescent="0.2">
      <c r="A1573" s="89"/>
      <c r="B1573" s="56"/>
      <c r="C1573" s="184" t="s">
        <v>1196</v>
      </c>
      <c r="D1573" s="56"/>
      <c r="E1573" s="56"/>
      <c r="I1573" s="56"/>
      <c r="J1573" s="56"/>
      <c r="K1573" s="56"/>
      <c r="L1573" s="56"/>
      <c r="M1573" s="56"/>
      <c r="N1573" s="72"/>
      <c r="O1573" s="154">
        <v>12963</v>
      </c>
      <c r="P1573" s="67">
        <v>15000</v>
      </c>
      <c r="Q1573" s="56"/>
      <c r="R1573" s="56"/>
    </row>
    <row r="1574" spans="1:19" ht="14.1" customHeight="1" x14ac:dyDescent="0.2">
      <c r="A1574" s="89"/>
      <c r="B1574" s="90">
        <v>4139</v>
      </c>
      <c r="C1574" s="94" t="s">
        <v>1262</v>
      </c>
      <c r="D1574" s="102"/>
      <c r="E1574" s="71"/>
      <c r="F1574" s="74">
        <f>+E1574+D1574</f>
        <v>0</v>
      </c>
      <c r="G1574" s="74"/>
      <c r="H1574" s="74">
        <f>+G1574+F1574</f>
        <v>0</v>
      </c>
      <c r="I1574" s="71">
        <v>10</v>
      </c>
      <c r="J1574" s="73"/>
      <c r="K1574" s="74">
        <v>55587</v>
      </c>
      <c r="L1574" s="142">
        <f>+K1574+J1574</f>
        <v>55587</v>
      </c>
      <c r="M1574" s="92">
        <v>130000</v>
      </c>
      <c r="N1574" s="142"/>
      <c r="O1574" s="142">
        <v>8250</v>
      </c>
      <c r="P1574" s="139">
        <v>8250</v>
      </c>
      <c r="Q1574" s="87" t="e">
        <f>(P1574-N1574)/N1574</f>
        <v>#DIV/0!</v>
      </c>
      <c r="R1574" s="206"/>
    </row>
    <row r="1575" spans="1:19" ht="14.1" customHeight="1" x14ac:dyDescent="0.2">
      <c r="A1575" s="89"/>
      <c r="B1575" s="95">
        <v>50</v>
      </c>
      <c r="C1575" s="96" t="s">
        <v>102</v>
      </c>
      <c r="D1575" s="102"/>
      <c r="E1575" s="71"/>
      <c r="F1575" s="74"/>
      <c r="G1575" s="74"/>
      <c r="H1575" s="74"/>
      <c r="I1575" s="71"/>
      <c r="J1575" s="73"/>
      <c r="K1575" s="73"/>
      <c r="L1575" s="198"/>
      <c r="M1575" s="205">
        <v>660</v>
      </c>
      <c r="N1575" s="140">
        <f>+M1575+L1575</f>
        <v>660</v>
      </c>
      <c r="O1575" s="140">
        <v>660</v>
      </c>
      <c r="P1575" s="67">
        <v>19927</v>
      </c>
      <c r="Q1575" s="87"/>
      <c r="R1575" s="56" t="s">
        <v>1383</v>
      </c>
    </row>
    <row r="1576" spans="1:19" ht="14.1" customHeight="1" x14ac:dyDescent="0.2">
      <c r="A1576" s="89"/>
      <c r="B1576" s="95">
        <v>55</v>
      </c>
      <c r="C1576" s="96" t="s">
        <v>465</v>
      </c>
      <c r="D1576" s="102"/>
      <c r="E1576" s="71"/>
      <c r="F1576" s="74"/>
      <c r="G1576" s="74"/>
      <c r="H1576" s="74"/>
      <c r="I1576" s="71"/>
      <c r="J1576" s="73"/>
      <c r="K1576" s="74"/>
      <c r="L1576" s="142"/>
      <c r="M1576" s="142"/>
      <c r="N1576" s="141"/>
      <c r="O1576" s="141">
        <f>O1577+O1578+O1582</f>
        <v>11087</v>
      </c>
      <c r="P1576" s="141">
        <f>P1577+P1578+P1582</f>
        <v>26662</v>
      </c>
      <c r="Q1576" s="87"/>
      <c r="R1576" s="203"/>
    </row>
    <row r="1577" spans="1:19" ht="14.1" customHeight="1" x14ac:dyDescent="0.2">
      <c r="A1577" s="89"/>
      <c r="B1577" s="90">
        <v>5525</v>
      </c>
      <c r="C1577" s="72" t="s">
        <v>1215</v>
      </c>
      <c r="D1577" s="102"/>
      <c r="E1577" s="71"/>
      <c r="F1577" s="74"/>
      <c r="G1577" s="74"/>
      <c r="H1577" s="74"/>
      <c r="I1577" s="71"/>
      <c r="J1577" s="73"/>
      <c r="K1577" s="74"/>
      <c r="L1577" s="142"/>
      <c r="M1577" s="142"/>
      <c r="N1577" s="74"/>
      <c r="O1577" s="74"/>
      <c r="P1577" s="67">
        <v>14100</v>
      </c>
      <c r="Q1577" s="87"/>
      <c r="R1577" s="203" t="s">
        <v>1216</v>
      </c>
    </row>
    <row r="1578" spans="1:19" ht="14.1" customHeight="1" x14ac:dyDescent="0.2">
      <c r="A1578" s="89"/>
      <c r="B1578" s="90">
        <v>5526</v>
      </c>
      <c r="C1578" s="72" t="s">
        <v>1263</v>
      </c>
      <c r="D1578" s="102">
        <v>33610</v>
      </c>
      <c r="E1578" s="71"/>
      <c r="F1578" s="74">
        <f t="shared" si="869"/>
        <v>33610</v>
      </c>
      <c r="G1578" s="74"/>
      <c r="H1578" s="74">
        <f t="shared" si="871"/>
        <v>33610</v>
      </c>
      <c r="I1578" s="71">
        <v>8389</v>
      </c>
      <c r="J1578" s="73">
        <v>33610</v>
      </c>
      <c r="K1578" s="74"/>
      <c r="L1578" s="74">
        <f t="shared" si="872"/>
        <v>33610</v>
      </c>
      <c r="M1578" s="74"/>
      <c r="N1578" s="74">
        <f t="shared" si="870"/>
        <v>33610</v>
      </c>
      <c r="O1578" s="74">
        <f>SUM(O1579:O1581)</f>
        <v>9607</v>
      </c>
      <c r="P1578" s="67">
        <f>SUM(P1579:P1581)</f>
        <v>10562</v>
      </c>
      <c r="Q1578" s="87">
        <f t="shared" si="873"/>
        <v>-0.68574828919964292</v>
      </c>
      <c r="R1578" s="203"/>
    </row>
    <row r="1579" spans="1:19" ht="14.1" customHeight="1" x14ac:dyDescent="0.2">
      <c r="A1579" s="89"/>
      <c r="B1579" s="185" t="s">
        <v>1264</v>
      </c>
      <c r="C1579" s="154" t="s">
        <v>1265</v>
      </c>
      <c r="D1579" s="102"/>
      <c r="E1579" s="71"/>
      <c r="F1579" s="74"/>
      <c r="G1579" s="74"/>
      <c r="H1579" s="74"/>
      <c r="I1579" s="71"/>
      <c r="J1579" s="73"/>
      <c r="K1579" s="74"/>
      <c r="L1579" s="74"/>
      <c r="M1579" s="74"/>
      <c r="N1579" s="74"/>
      <c r="O1579" s="153">
        <v>300</v>
      </c>
      <c r="P1579" s="67">
        <v>300</v>
      </c>
      <c r="Q1579" s="87"/>
      <c r="R1579" s="203"/>
    </row>
    <row r="1580" spans="1:19" ht="14.1" customHeight="1" x14ac:dyDescent="0.2">
      <c r="A1580" s="89"/>
      <c r="B1580" s="185" t="s">
        <v>1266</v>
      </c>
      <c r="C1580" s="154" t="s">
        <v>1267</v>
      </c>
      <c r="D1580" s="102"/>
      <c r="E1580" s="71"/>
      <c r="F1580" s="74"/>
      <c r="G1580" s="74"/>
      <c r="H1580" s="74"/>
      <c r="I1580" s="71"/>
      <c r="J1580" s="73"/>
      <c r="K1580" s="74"/>
      <c r="L1580" s="74"/>
      <c r="M1580" s="74"/>
      <c r="N1580" s="74"/>
      <c r="O1580" s="153">
        <v>262</v>
      </c>
      <c r="P1580" s="67">
        <v>262</v>
      </c>
      <c r="Q1580" s="87"/>
      <c r="R1580" s="203"/>
    </row>
    <row r="1581" spans="1:19" ht="14.1" customHeight="1" x14ac:dyDescent="0.2">
      <c r="A1581" s="89"/>
      <c r="B1581" s="185" t="s">
        <v>1268</v>
      </c>
      <c r="C1581" s="154" t="s">
        <v>1269</v>
      </c>
      <c r="D1581" s="102"/>
      <c r="E1581" s="71"/>
      <c r="F1581" s="74"/>
      <c r="G1581" s="74"/>
      <c r="H1581" s="74"/>
      <c r="I1581" s="71"/>
      <c r="J1581" s="73"/>
      <c r="K1581" s="74"/>
      <c r="L1581" s="74"/>
      <c r="M1581" s="74"/>
      <c r="N1581" s="74"/>
      <c r="O1581" s="153">
        <v>9045</v>
      </c>
      <c r="P1581" s="67">
        <v>10000</v>
      </c>
      <c r="Q1581" s="87"/>
      <c r="R1581" s="203"/>
    </row>
    <row r="1582" spans="1:19" ht="13.5" customHeight="1" x14ac:dyDescent="0.2">
      <c r="A1582" s="89"/>
      <c r="B1582" s="90">
        <v>5540</v>
      </c>
      <c r="C1582" s="72" t="s">
        <v>1214</v>
      </c>
      <c r="D1582" s="102"/>
      <c r="E1582" s="71"/>
      <c r="F1582" s="74"/>
      <c r="G1582" s="74"/>
      <c r="H1582" s="74"/>
      <c r="I1582" s="71"/>
      <c r="J1582" s="73"/>
      <c r="K1582" s="74"/>
      <c r="L1582" s="74"/>
      <c r="M1582" s="74"/>
      <c r="N1582" s="74"/>
      <c r="O1582" s="74">
        <v>1480</v>
      </c>
      <c r="P1582" s="67">
        <v>2000</v>
      </c>
      <c r="Q1582" s="87"/>
      <c r="R1582" s="203"/>
    </row>
    <row r="1583" spans="1:19" ht="14.1" hidden="1" customHeight="1" x14ac:dyDescent="0.2">
      <c r="A1583" s="89"/>
      <c r="B1583" s="90">
        <v>4130</v>
      </c>
      <c r="C1583" s="72"/>
      <c r="D1583" s="102">
        <v>0</v>
      </c>
      <c r="E1583" s="71"/>
      <c r="F1583" s="74">
        <f t="shared" si="869"/>
        <v>0</v>
      </c>
      <c r="G1583" s="74"/>
      <c r="H1583" s="74">
        <f t="shared" si="871"/>
        <v>0</v>
      </c>
      <c r="I1583" s="71">
        <v>0</v>
      </c>
      <c r="J1583" s="73">
        <v>0</v>
      </c>
      <c r="K1583" s="74"/>
      <c r="L1583" s="142">
        <f t="shared" si="872"/>
        <v>0</v>
      </c>
      <c r="M1583" s="142"/>
      <c r="N1583" s="142">
        <f t="shared" si="870"/>
        <v>0</v>
      </c>
      <c r="O1583" s="142"/>
      <c r="P1583" s="67"/>
      <c r="Q1583" s="87" t="e">
        <f t="shared" si="873"/>
        <v>#DIV/0!</v>
      </c>
      <c r="R1583" s="203"/>
    </row>
    <row r="1584" spans="1:19" ht="14.1" customHeight="1" x14ac:dyDescent="0.2">
      <c r="A1584" s="146" t="s">
        <v>1152</v>
      </c>
      <c r="B1584" s="147"/>
      <c r="C1584" s="148" t="s">
        <v>1270</v>
      </c>
      <c r="D1584" s="149">
        <v>3001</v>
      </c>
      <c r="E1584" s="150"/>
      <c r="F1584" s="137">
        <f t="shared" si="869"/>
        <v>3001</v>
      </c>
      <c r="G1584" s="137">
        <v>0</v>
      </c>
      <c r="H1584" s="137"/>
      <c r="I1584" s="151"/>
      <c r="J1584" s="152"/>
      <c r="K1584" s="137"/>
      <c r="L1584" s="137">
        <f>+L1586</f>
        <v>3000</v>
      </c>
      <c r="M1584" s="137">
        <f>+M1586</f>
        <v>0</v>
      </c>
      <c r="N1584" s="137">
        <f>N1585</f>
        <v>0</v>
      </c>
      <c r="O1584" s="137">
        <f>O1585</f>
        <v>7050</v>
      </c>
      <c r="P1584" s="137">
        <f>P1585</f>
        <v>8000</v>
      </c>
      <c r="S1584" s="196" t="s">
        <v>1153</v>
      </c>
    </row>
    <row r="1585" spans="1:27" ht="14.1" customHeight="1" x14ac:dyDescent="0.2">
      <c r="A1585" s="267"/>
      <c r="B1585" s="268">
        <v>4130</v>
      </c>
      <c r="C1585" s="269" t="s">
        <v>1151</v>
      </c>
      <c r="D1585" s="270"/>
      <c r="E1585" s="271"/>
      <c r="F1585" s="139"/>
      <c r="G1585" s="139"/>
      <c r="H1585" s="139"/>
      <c r="I1585" s="270"/>
      <c r="J1585" s="139"/>
      <c r="K1585" s="139"/>
      <c r="L1585" s="139" t="s">
        <v>753</v>
      </c>
      <c r="M1585" s="139"/>
      <c r="N1585" s="142">
        <v>0</v>
      </c>
      <c r="O1585" s="142">
        <v>7050</v>
      </c>
      <c r="P1585" s="139">
        <v>8000</v>
      </c>
      <c r="R1585" s="59" t="s">
        <v>1400</v>
      </c>
    </row>
    <row r="1586" spans="1:27" s="53" customFormat="1" ht="14.1" customHeight="1" x14ac:dyDescent="0.2">
      <c r="A1586" s="146" t="s">
        <v>485</v>
      </c>
      <c r="B1586" s="147">
        <v>55</v>
      </c>
      <c r="C1586" s="148" t="s">
        <v>486</v>
      </c>
      <c r="D1586" s="149">
        <v>3000</v>
      </c>
      <c r="E1586" s="150"/>
      <c r="F1586" s="137">
        <f t="shared" ref="F1586:F1619" si="874">+E1586+D1586</f>
        <v>3000</v>
      </c>
      <c r="G1586" s="137">
        <v>0</v>
      </c>
      <c r="H1586" s="137">
        <v>3000</v>
      </c>
      <c r="I1586" s="151">
        <v>2128</v>
      </c>
      <c r="J1586" s="152">
        <v>3000</v>
      </c>
      <c r="K1586" s="137"/>
      <c r="L1586" s="137">
        <f>+L1587</f>
        <v>3000</v>
      </c>
      <c r="M1586" s="137">
        <f t="shared" ref="M1586:P1586" si="875">+M1587</f>
        <v>0</v>
      </c>
      <c r="N1586" s="137">
        <f t="shared" si="875"/>
        <v>3000</v>
      </c>
      <c r="O1586" s="137">
        <f t="shared" si="875"/>
        <v>1020</v>
      </c>
      <c r="P1586" s="137">
        <f t="shared" si="875"/>
        <v>3000</v>
      </c>
      <c r="Q1586" s="87">
        <f t="shared" si="873"/>
        <v>0</v>
      </c>
      <c r="R1586" s="203"/>
      <c r="S1586" s="56"/>
      <c r="U1586" s="56"/>
      <c r="V1586" s="56"/>
      <c r="W1586" s="56"/>
      <c r="X1586" s="56"/>
      <c r="Y1586" s="56"/>
      <c r="Z1586" s="56"/>
      <c r="AA1586" s="56"/>
    </row>
    <row r="1587" spans="1:27" s="53" customFormat="1" ht="14.1" customHeight="1" x14ac:dyDescent="0.2">
      <c r="A1587" s="56"/>
      <c r="B1587" s="56">
        <v>5526</v>
      </c>
      <c r="C1587" s="56" t="s">
        <v>654</v>
      </c>
      <c r="D1587" s="56"/>
      <c r="E1587" s="56"/>
      <c r="F1587" s="56"/>
      <c r="G1587" s="56"/>
      <c r="H1587" s="56"/>
      <c r="I1587" s="56"/>
      <c r="J1587" s="56"/>
      <c r="K1587" s="56"/>
      <c r="L1587" s="261">
        <v>3000</v>
      </c>
      <c r="M1587" s="261"/>
      <c r="N1587" s="261">
        <f>+L1587+M1587</f>
        <v>3000</v>
      </c>
      <c r="O1587" s="261">
        <v>1020</v>
      </c>
      <c r="P1587" s="261">
        <v>3000</v>
      </c>
      <c r="Q1587" s="87">
        <f t="shared" si="873"/>
        <v>0</v>
      </c>
      <c r="R1587" s="203" t="s">
        <v>1150</v>
      </c>
      <c r="S1587" s="56"/>
      <c r="U1587" s="56"/>
      <c r="V1587" s="56"/>
      <c r="W1587" s="56"/>
      <c r="X1587" s="56"/>
      <c r="Y1587" s="56"/>
      <c r="Z1587" s="56"/>
      <c r="AA1587" s="56"/>
    </row>
    <row r="1588" spans="1:27" s="53" customFormat="1" ht="14.1" customHeight="1" x14ac:dyDescent="0.2">
      <c r="A1588" s="146" t="s">
        <v>481</v>
      </c>
      <c r="B1588" s="147"/>
      <c r="C1588" s="148" t="s">
        <v>482</v>
      </c>
      <c r="D1588" s="149">
        <v>69649</v>
      </c>
      <c r="E1588" s="150">
        <f>+E1589</f>
        <v>20792</v>
      </c>
      <c r="F1588" s="137">
        <v>69649</v>
      </c>
      <c r="G1588" s="137">
        <v>0</v>
      </c>
      <c r="H1588" s="137">
        <f>+H1589</f>
        <v>90441</v>
      </c>
      <c r="I1588" s="151">
        <f>+I1589</f>
        <v>60174</v>
      </c>
      <c r="J1588" s="152">
        <f>+J1589</f>
        <v>69649</v>
      </c>
      <c r="K1588" s="137">
        <f>+K1589</f>
        <v>-5972</v>
      </c>
      <c r="L1588" s="137">
        <f>+L1589</f>
        <v>63677</v>
      </c>
      <c r="M1588" s="137">
        <f t="shared" ref="M1588:P1588" si="876">+M1589</f>
        <v>0</v>
      </c>
      <c r="N1588" s="137">
        <f t="shared" si="876"/>
        <v>63677</v>
      </c>
      <c r="O1588" s="137">
        <f t="shared" si="876"/>
        <v>163013</v>
      </c>
      <c r="P1588" s="137">
        <f t="shared" si="876"/>
        <v>150000</v>
      </c>
      <c r="Q1588" s="87">
        <f>(P1588-N1588)/N1588</f>
        <v>1.3556386136281546</v>
      </c>
      <c r="R1588" s="203"/>
      <c r="S1588" s="56"/>
      <c r="T1588" s="56"/>
      <c r="U1588" s="56"/>
      <c r="V1588" s="56"/>
      <c r="W1588" s="56"/>
      <c r="X1588" s="56"/>
      <c r="Y1588" s="56"/>
      <c r="Z1588" s="56"/>
      <c r="AA1588" s="56"/>
    </row>
    <row r="1589" spans="1:27" s="53" customFormat="1" ht="14.1" customHeight="1" x14ac:dyDescent="0.2">
      <c r="A1589" s="89" t="s">
        <v>483</v>
      </c>
      <c r="B1589" s="90">
        <v>4131</v>
      </c>
      <c r="C1589" s="72" t="s">
        <v>484</v>
      </c>
      <c r="D1589" s="43">
        <v>69649</v>
      </c>
      <c r="E1589" s="71">
        <v>20792</v>
      </c>
      <c r="F1589" s="72">
        <v>69649</v>
      </c>
      <c r="G1589" s="72"/>
      <c r="H1589" s="72">
        <v>90441</v>
      </c>
      <c r="I1589" s="71">
        <v>60174</v>
      </c>
      <c r="J1589" s="73">
        <v>69649</v>
      </c>
      <c r="K1589" s="74">
        <v>-5972</v>
      </c>
      <c r="L1589" s="142">
        <f>+K1589+J1589</f>
        <v>63677</v>
      </c>
      <c r="M1589" s="142"/>
      <c r="N1589" s="142">
        <f t="shared" ref="N1589" si="877">+M1589+L1589</f>
        <v>63677</v>
      </c>
      <c r="O1589" s="142">
        <v>163013</v>
      </c>
      <c r="P1589" s="142">
        <v>150000</v>
      </c>
      <c r="Q1589" s="87">
        <f>(P1589-N1589)/N1589</f>
        <v>1.3556386136281546</v>
      </c>
      <c r="R1589" s="206"/>
      <c r="S1589" s="169" t="s">
        <v>1144</v>
      </c>
      <c r="T1589" s="169" t="s">
        <v>1401</v>
      </c>
      <c r="U1589" s="56"/>
      <c r="V1589" s="56"/>
      <c r="W1589" s="56"/>
      <c r="X1589" s="56"/>
      <c r="Y1589" s="56"/>
      <c r="Z1589" s="56"/>
      <c r="AA1589" s="56"/>
    </row>
    <row r="1590" spans="1:27" s="53" customFormat="1" ht="14.1" customHeight="1" x14ac:dyDescent="0.2">
      <c r="A1590" s="146" t="s">
        <v>731</v>
      </c>
      <c r="B1590" s="147"/>
      <c r="C1590" s="148" t="s">
        <v>748</v>
      </c>
      <c r="D1590" s="149">
        <v>3001</v>
      </c>
      <c r="E1590" s="150"/>
      <c r="F1590" s="137">
        <f t="shared" ref="F1590" si="878">+E1590+D1590</f>
        <v>3001</v>
      </c>
      <c r="G1590" s="137">
        <v>0</v>
      </c>
      <c r="H1590" s="137"/>
      <c r="I1590" s="151"/>
      <c r="J1590" s="152"/>
      <c r="K1590" s="137"/>
      <c r="L1590" s="137">
        <f>+L1592</f>
        <v>0</v>
      </c>
      <c r="M1590" s="137">
        <f>+M1592</f>
        <v>6363</v>
      </c>
      <c r="N1590" s="137">
        <f>N1591+N1592</f>
        <v>6363</v>
      </c>
      <c r="O1590" s="137">
        <f>O1591+O1592</f>
        <v>11726</v>
      </c>
      <c r="P1590" s="137">
        <f>P1591+P1592</f>
        <v>5000</v>
      </c>
      <c r="Q1590" s="87">
        <f t="shared" si="873"/>
        <v>-0.2142071349992142</v>
      </c>
      <c r="R1590" s="59" t="s">
        <v>1402</v>
      </c>
      <c r="S1590" s="210"/>
      <c r="T1590" s="56" t="s">
        <v>749</v>
      </c>
      <c r="U1590" s="56"/>
      <c r="V1590" s="56"/>
      <c r="W1590" s="56"/>
      <c r="X1590" s="56"/>
      <c r="Y1590" s="56"/>
      <c r="Z1590" s="56"/>
      <c r="AA1590" s="56"/>
    </row>
    <row r="1591" spans="1:27" s="53" customFormat="1" ht="14.1" customHeight="1" x14ac:dyDescent="0.2">
      <c r="A1591" s="267"/>
      <c r="B1591" s="268">
        <v>41</v>
      </c>
      <c r="C1591" s="269" t="s">
        <v>1151</v>
      </c>
      <c r="D1591" s="270"/>
      <c r="E1591" s="271"/>
      <c r="F1591" s="139"/>
      <c r="G1591" s="139"/>
      <c r="H1591" s="139"/>
      <c r="I1591" s="270"/>
      <c r="J1591" s="139"/>
      <c r="K1591" s="139"/>
      <c r="L1591" s="139"/>
      <c r="M1591" s="139"/>
      <c r="N1591" s="142">
        <v>0</v>
      </c>
      <c r="O1591" s="142">
        <v>400</v>
      </c>
      <c r="P1591" s="139">
        <v>500</v>
      </c>
      <c r="Q1591" s="87"/>
      <c r="R1591" s="115"/>
      <c r="S1591" s="210"/>
      <c r="T1591" s="56"/>
      <c r="U1591" s="56"/>
      <c r="V1591" s="56"/>
      <c r="W1591" s="56"/>
      <c r="X1591" s="56"/>
      <c r="Y1591" s="56"/>
      <c r="Z1591" s="56"/>
      <c r="AA1591" s="56"/>
    </row>
    <row r="1592" spans="1:27" s="53" customFormat="1" ht="12.75" x14ac:dyDescent="0.2">
      <c r="A1592" s="72"/>
      <c r="B1592" s="72">
        <v>55</v>
      </c>
      <c r="C1592" s="72" t="s">
        <v>654</v>
      </c>
      <c r="D1592" s="72"/>
      <c r="E1592" s="72"/>
      <c r="F1592" s="72"/>
      <c r="G1592" s="72"/>
      <c r="H1592" s="72"/>
      <c r="I1592" s="72"/>
      <c r="J1592" s="72"/>
      <c r="K1592" s="72"/>
      <c r="L1592" s="275">
        <v>0</v>
      </c>
      <c r="M1592" s="276">
        <v>6363</v>
      </c>
      <c r="N1592" s="275">
        <f>+L1592+M1592</f>
        <v>6363</v>
      </c>
      <c r="O1592" s="275">
        <v>11326</v>
      </c>
      <c r="P1592" s="275">
        <v>4500</v>
      </c>
      <c r="Q1592" s="87">
        <f t="shared" si="873"/>
        <v>-0.29278642149929279</v>
      </c>
      <c r="R1592" s="115"/>
      <c r="S1592" s="277"/>
      <c r="U1592" s="56"/>
      <c r="V1592" s="56"/>
      <c r="W1592" s="56"/>
      <c r="X1592" s="56"/>
      <c r="Y1592" s="56"/>
      <c r="Z1592" s="56"/>
      <c r="AA1592" s="56"/>
    </row>
    <row r="1593" spans="1:27" ht="12.75" x14ac:dyDescent="0.2">
      <c r="A1593" s="146" t="s">
        <v>487</v>
      </c>
      <c r="B1593" s="147"/>
      <c r="C1593" s="148" t="s">
        <v>488</v>
      </c>
      <c r="D1593" s="149">
        <v>311487</v>
      </c>
      <c r="E1593" s="150"/>
      <c r="F1593" s="137">
        <f t="shared" si="874"/>
        <v>311487</v>
      </c>
      <c r="G1593" s="137">
        <f>+G1594</f>
        <v>-6300</v>
      </c>
      <c r="H1593" s="137">
        <f t="shared" ref="H1593:M1593" si="879">+H1594+H1609+H1611</f>
        <v>305187</v>
      </c>
      <c r="I1593" s="151">
        <f t="shared" si="879"/>
        <v>228740</v>
      </c>
      <c r="J1593" s="152">
        <f t="shared" si="879"/>
        <v>350271</v>
      </c>
      <c r="K1593" s="152">
        <f t="shared" si="879"/>
        <v>15000</v>
      </c>
      <c r="L1593" s="152">
        <f t="shared" si="879"/>
        <v>365271</v>
      </c>
      <c r="M1593" s="152">
        <f t="shared" si="879"/>
        <v>26022</v>
      </c>
      <c r="N1593" s="152"/>
      <c r="O1593" s="152"/>
      <c r="P1593" s="152"/>
      <c r="Q1593" s="87" t="e">
        <f t="shared" si="873"/>
        <v>#DIV/0!</v>
      </c>
      <c r="R1593" s="203"/>
    </row>
    <row r="1594" spans="1:27" s="53" customFormat="1" ht="14.1" customHeight="1" x14ac:dyDescent="0.2">
      <c r="A1594" s="146" t="s">
        <v>489</v>
      </c>
      <c r="B1594" s="147"/>
      <c r="C1594" s="148" t="s">
        <v>490</v>
      </c>
      <c r="D1594" s="149">
        <v>268747</v>
      </c>
      <c r="E1594" s="151"/>
      <c r="F1594" s="137">
        <f t="shared" si="874"/>
        <v>268747</v>
      </c>
      <c r="G1594" s="137">
        <f>+G1595</f>
        <v>-6300</v>
      </c>
      <c r="H1594" s="137">
        <f>+G1594+F1594</f>
        <v>262447</v>
      </c>
      <c r="I1594" s="151">
        <f t="shared" ref="I1594:M1594" si="880">+I1595+I1596</f>
        <v>207945</v>
      </c>
      <c r="J1594" s="152">
        <f t="shared" si="880"/>
        <v>300271</v>
      </c>
      <c r="K1594" s="152">
        <f t="shared" si="880"/>
        <v>-5000</v>
      </c>
      <c r="L1594" s="152">
        <f t="shared" si="880"/>
        <v>295271</v>
      </c>
      <c r="M1594" s="152">
        <f t="shared" si="880"/>
        <v>26022</v>
      </c>
      <c r="N1594" s="152">
        <f>+N1595+N1596</f>
        <v>321293</v>
      </c>
      <c r="O1594" s="152">
        <f>+O1595+O1596</f>
        <v>266586</v>
      </c>
      <c r="P1594" s="152">
        <f>+P1595+P1596</f>
        <v>421297</v>
      </c>
      <c r="Q1594" s="87">
        <f t="shared" si="873"/>
        <v>0.31125483592857611</v>
      </c>
      <c r="R1594" s="203"/>
      <c r="S1594" s="56"/>
      <c r="U1594" s="56"/>
      <c r="V1594" s="56"/>
      <c r="W1594" s="56"/>
      <c r="X1594" s="56"/>
      <c r="Y1594" s="56"/>
      <c r="Z1594" s="56"/>
      <c r="AA1594" s="56"/>
    </row>
    <row r="1595" spans="1:27" ht="14.1" customHeight="1" x14ac:dyDescent="0.2">
      <c r="A1595" s="89"/>
      <c r="B1595" s="90">
        <v>50</v>
      </c>
      <c r="C1595" s="72" t="s">
        <v>102</v>
      </c>
      <c r="D1595" s="43">
        <v>225747</v>
      </c>
      <c r="E1595" s="71"/>
      <c r="F1595" s="74">
        <f t="shared" si="874"/>
        <v>225747</v>
      </c>
      <c r="G1595" s="74">
        <v>-6300</v>
      </c>
      <c r="H1595" s="74">
        <f t="shared" ref="H1595:H1608" si="881">+G1595+F1595</f>
        <v>219447</v>
      </c>
      <c r="I1595" s="71">
        <v>167885</v>
      </c>
      <c r="J1595" s="73">
        <v>259671</v>
      </c>
      <c r="K1595" s="74"/>
      <c r="L1595" s="140">
        <f>+K1595+J1595</f>
        <v>259671</v>
      </c>
      <c r="M1595" s="92">
        <f>10400+7952</f>
        <v>18352</v>
      </c>
      <c r="N1595" s="140">
        <f t="shared" ref="N1595" si="882">+M1595+L1595</f>
        <v>278023</v>
      </c>
      <c r="O1595" s="140">
        <v>228004</v>
      </c>
      <c r="P1595" s="67">
        <v>372997</v>
      </c>
      <c r="Q1595" s="87">
        <f t="shared" si="873"/>
        <v>0.3416048312549681</v>
      </c>
      <c r="R1595" s="203" t="s">
        <v>1271</v>
      </c>
    </row>
    <row r="1596" spans="1:27" ht="14.1" customHeight="1" x14ac:dyDescent="0.2">
      <c r="A1596" s="89"/>
      <c r="B1596" s="90">
        <v>55</v>
      </c>
      <c r="C1596" s="72" t="s">
        <v>491</v>
      </c>
      <c r="D1596" s="43">
        <v>43000</v>
      </c>
      <c r="E1596" s="71"/>
      <c r="F1596" s="74">
        <f t="shared" si="874"/>
        <v>43000</v>
      </c>
      <c r="G1596" s="74"/>
      <c r="H1596" s="74">
        <f t="shared" si="881"/>
        <v>43000</v>
      </c>
      <c r="I1596" s="71">
        <f>+I1597+I1599+I1600+I1601+I1602+I1603+I1604+I1605+I1607+I1608</f>
        <v>40060</v>
      </c>
      <c r="J1596" s="73">
        <f>SUM(J1597:J1608)</f>
        <v>40600</v>
      </c>
      <c r="K1596" s="73">
        <f t="shared" ref="K1596" si="883">SUM(K1597:K1608)</f>
        <v>-5000</v>
      </c>
      <c r="L1596" s="166">
        <f>SUM(L1597:L1608)</f>
        <v>35600</v>
      </c>
      <c r="M1596" s="166">
        <f t="shared" ref="M1596:N1596" si="884">SUM(M1597:M1608)</f>
        <v>7670</v>
      </c>
      <c r="N1596" s="166">
        <f t="shared" si="884"/>
        <v>43270</v>
      </c>
      <c r="O1596" s="166">
        <f t="shared" ref="O1596" si="885">SUM(O1597:O1608)</f>
        <v>38582</v>
      </c>
      <c r="P1596" s="166">
        <f>SUM(P1597:P1608)</f>
        <v>48300</v>
      </c>
      <c r="Q1596" s="87">
        <f t="shared" si="873"/>
        <v>0.11624682227871505</v>
      </c>
      <c r="R1596" s="206"/>
    </row>
    <row r="1597" spans="1:27" ht="14.1" customHeight="1" x14ac:dyDescent="0.2">
      <c r="A1597" s="89"/>
      <c r="B1597" s="90">
        <v>5500</v>
      </c>
      <c r="C1597" s="72" t="s">
        <v>115</v>
      </c>
      <c r="D1597" s="102">
        <v>2000</v>
      </c>
      <c r="E1597" s="71"/>
      <c r="F1597" s="74">
        <f t="shared" si="874"/>
        <v>2000</v>
      </c>
      <c r="G1597" s="74"/>
      <c r="H1597" s="74">
        <f t="shared" si="881"/>
        <v>2000</v>
      </c>
      <c r="I1597" s="71">
        <v>1073</v>
      </c>
      <c r="J1597" s="73">
        <v>2000</v>
      </c>
      <c r="K1597" s="74"/>
      <c r="L1597" s="74">
        <f t="shared" ref="L1597:L1608" si="886">+K1597+J1597</f>
        <v>2000</v>
      </c>
      <c r="M1597" s="74"/>
      <c r="N1597" s="74">
        <f t="shared" ref="N1597:N1608" si="887">+M1597+L1597</f>
        <v>2000</v>
      </c>
      <c r="O1597" s="74">
        <v>1559</v>
      </c>
      <c r="P1597" s="67">
        <v>2000</v>
      </c>
      <c r="Q1597" s="87">
        <f t="shared" si="873"/>
        <v>0</v>
      </c>
      <c r="R1597" s="203"/>
    </row>
    <row r="1598" spans="1:27" ht="14.1" customHeight="1" x14ac:dyDescent="0.2">
      <c r="A1598" s="89"/>
      <c r="B1598" s="90">
        <v>5503</v>
      </c>
      <c r="C1598" s="72" t="s">
        <v>107</v>
      </c>
      <c r="D1598" s="102"/>
      <c r="E1598" s="71"/>
      <c r="F1598" s="74"/>
      <c r="G1598" s="74"/>
      <c r="H1598" s="74"/>
      <c r="I1598" s="71"/>
      <c r="J1598" s="73"/>
      <c r="K1598" s="74"/>
      <c r="L1598" s="74"/>
      <c r="M1598" s="74"/>
      <c r="N1598" s="74"/>
      <c r="O1598" s="74">
        <v>104</v>
      </c>
      <c r="P1598" s="67">
        <v>800</v>
      </c>
      <c r="Q1598" s="87"/>
      <c r="R1598" s="203"/>
    </row>
    <row r="1599" spans="1:27" ht="14.1" customHeight="1" x14ac:dyDescent="0.2">
      <c r="A1599" s="89"/>
      <c r="B1599" s="90">
        <v>5504</v>
      </c>
      <c r="C1599" s="72" t="s">
        <v>118</v>
      </c>
      <c r="D1599" s="102">
        <v>4000</v>
      </c>
      <c r="E1599" s="71"/>
      <c r="F1599" s="74">
        <f t="shared" si="874"/>
        <v>4000</v>
      </c>
      <c r="G1599" s="74"/>
      <c r="H1599" s="74">
        <f t="shared" si="881"/>
        <v>4000</v>
      </c>
      <c r="I1599" s="71">
        <v>2981</v>
      </c>
      <c r="J1599" s="73">
        <v>4000</v>
      </c>
      <c r="K1599" s="74"/>
      <c r="L1599" s="74">
        <f t="shared" si="886"/>
        <v>4000</v>
      </c>
      <c r="M1599" s="74"/>
      <c r="N1599" s="74">
        <f t="shared" si="887"/>
        <v>4000</v>
      </c>
      <c r="O1599" s="74">
        <v>949</v>
      </c>
      <c r="P1599" s="67">
        <v>3900</v>
      </c>
      <c r="Q1599" s="87">
        <f t="shared" si="873"/>
        <v>-2.5000000000000001E-2</v>
      </c>
      <c r="R1599" s="203" t="s">
        <v>1272</v>
      </c>
    </row>
    <row r="1600" spans="1:27" ht="14.1" customHeight="1" x14ac:dyDescent="0.2">
      <c r="A1600" s="89"/>
      <c r="B1600" s="90">
        <v>5511</v>
      </c>
      <c r="C1600" s="72" t="s">
        <v>110</v>
      </c>
      <c r="D1600" s="102">
        <v>0</v>
      </c>
      <c r="E1600" s="71"/>
      <c r="F1600" s="74">
        <f t="shared" si="874"/>
        <v>0</v>
      </c>
      <c r="G1600" s="74"/>
      <c r="H1600" s="74">
        <f t="shared" si="881"/>
        <v>0</v>
      </c>
      <c r="I1600" s="71">
        <v>793</v>
      </c>
      <c r="J1600" s="73">
        <v>1000</v>
      </c>
      <c r="K1600" s="74"/>
      <c r="L1600" s="74">
        <f t="shared" si="886"/>
        <v>1000</v>
      </c>
      <c r="M1600" s="74"/>
      <c r="N1600" s="74">
        <f t="shared" si="887"/>
        <v>1000</v>
      </c>
      <c r="O1600" s="74">
        <v>21</v>
      </c>
      <c r="P1600" s="67">
        <v>100</v>
      </c>
      <c r="Q1600" s="87">
        <f t="shared" si="873"/>
        <v>-0.9</v>
      </c>
      <c r="R1600" s="203"/>
    </row>
    <row r="1601" spans="1:20" ht="14.1" customHeight="1" x14ac:dyDescent="0.2">
      <c r="A1601" s="89"/>
      <c r="B1601" s="90">
        <v>5513</v>
      </c>
      <c r="C1601" s="72" t="s">
        <v>407</v>
      </c>
      <c r="D1601" s="102">
        <v>25000</v>
      </c>
      <c r="E1601" s="71"/>
      <c r="F1601" s="74">
        <f t="shared" si="874"/>
        <v>25000</v>
      </c>
      <c r="G1601" s="74"/>
      <c r="H1601" s="74">
        <f t="shared" si="881"/>
        <v>25000</v>
      </c>
      <c r="I1601" s="71">
        <v>20207</v>
      </c>
      <c r="J1601" s="73">
        <v>25000</v>
      </c>
      <c r="K1601" s="74">
        <v>-5000</v>
      </c>
      <c r="L1601" s="74">
        <f t="shared" si="886"/>
        <v>20000</v>
      </c>
      <c r="M1601" s="74"/>
      <c r="N1601" s="74">
        <f t="shared" si="887"/>
        <v>20000</v>
      </c>
      <c r="O1601" s="74">
        <v>23784</v>
      </c>
      <c r="P1601" s="67">
        <v>30000</v>
      </c>
      <c r="Q1601" s="87">
        <f t="shared" si="873"/>
        <v>0.5</v>
      </c>
      <c r="R1601" s="206" t="s">
        <v>1384</v>
      </c>
    </row>
    <row r="1602" spans="1:20" ht="14.1" customHeight="1" x14ac:dyDescent="0.2">
      <c r="A1602" s="89"/>
      <c r="B1602" s="90">
        <v>5514</v>
      </c>
      <c r="C1602" s="72" t="s">
        <v>112</v>
      </c>
      <c r="D1602" s="102">
        <v>3000</v>
      </c>
      <c r="E1602" s="71"/>
      <c r="F1602" s="74">
        <f t="shared" si="874"/>
        <v>3000</v>
      </c>
      <c r="G1602" s="74"/>
      <c r="H1602" s="74">
        <f t="shared" si="881"/>
        <v>3000</v>
      </c>
      <c r="I1602" s="71">
        <v>500</v>
      </c>
      <c r="J1602" s="73">
        <v>5000</v>
      </c>
      <c r="K1602" s="74"/>
      <c r="L1602" s="74">
        <f t="shared" si="886"/>
        <v>5000</v>
      </c>
      <c r="M1602" s="74"/>
      <c r="N1602" s="74">
        <f t="shared" si="887"/>
        <v>5000</v>
      </c>
      <c r="O1602" s="74">
        <v>1617</v>
      </c>
      <c r="P1602" s="67">
        <v>2000</v>
      </c>
      <c r="Q1602" s="87">
        <f t="shared" si="873"/>
        <v>-0.6</v>
      </c>
      <c r="R1602" s="203"/>
    </row>
    <row r="1603" spans="1:20" ht="14.1" customHeight="1" x14ac:dyDescent="0.2">
      <c r="A1603" s="89"/>
      <c r="B1603" s="90">
        <v>5515</v>
      </c>
      <c r="C1603" s="72" t="s">
        <v>133</v>
      </c>
      <c r="D1603" s="102">
        <v>8000</v>
      </c>
      <c r="E1603" s="71"/>
      <c r="F1603" s="74">
        <f t="shared" si="874"/>
        <v>8000</v>
      </c>
      <c r="G1603" s="74"/>
      <c r="H1603" s="74">
        <f t="shared" si="881"/>
        <v>8000</v>
      </c>
      <c r="I1603" s="71">
        <v>8505</v>
      </c>
      <c r="J1603" s="73">
        <v>2000</v>
      </c>
      <c r="K1603" s="74"/>
      <c r="L1603" s="74">
        <f t="shared" si="886"/>
        <v>2000</v>
      </c>
      <c r="M1603" s="74"/>
      <c r="N1603" s="74">
        <f t="shared" si="887"/>
        <v>2000</v>
      </c>
      <c r="O1603" s="74">
        <v>1921</v>
      </c>
      <c r="P1603" s="67">
        <v>2000</v>
      </c>
      <c r="Q1603" s="87">
        <f t="shared" si="873"/>
        <v>0</v>
      </c>
      <c r="R1603" s="206"/>
    </row>
    <row r="1604" spans="1:20" ht="14.1" customHeight="1" x14ac:dyDescent="0.2">
      <c r="A1604" s="89"/>
      <c r="B1604" s="90">
        <v>5522</v>
      </c>
      <c r="C1604" s="72" t="s">
        <v>137</v>
      </c>
      <c r="D1604" s="102">
        <v>1000</v>
      </c>
      <c r="E1604" s="71"/>
      <c r="F1604" s="74">
        <f t="shared" si="874"/>
        <v>1000</v>
      </c>
      <c r="G1604" s="74"/>
      <c r="H1604" s="74">
        <f t="shared" si="881"/>
        <v>1000</v>
      </c>
      <c r="I1604" s="71">
        <v>893</v>
      </c>
      <c r="J1604" s="73">
        <v>1000</v>
      </c>
      <c r="K1604" s="74"/>
      <c r="L1604" s="74">
        <f t="shared" si="886"/>
        <v>1000</v>
      </c>
      <c r="M1604" s="92">
        <v>7670</v>
      </c>
      <c r="N1604" s="74">
        <f t="shared" si="887"/>
        <v>8670</v>
      </c>
      <c r="O1604" s="74">
        <v>7804</v>
      </c>
      <c r="P1604" s="67">
        <v>500</v>
      </c>
      <c r="Q1604" s="87">
        <f t="shared" si="873"/>
        <v>-0.94232987312572092</v>
      </c>
      <c r="R1604" s="206" t="s">
        <v>1149</v>
      </c>
      <c r="S1604" s="49"/>
      <c r="T1604" s="49"/>
    </row>
    <row r="1605" spans="1:20" ht="14.1" customHeight="1" x14ac:dyDescent="0.2">
      <c r="A1605" s="89"/>
      <c r="B1605" s="90">
        <v>5525</v>
      </c>
      <c r="C1605" s="103" t="s">
        <v>139</v>
      </c>
      <c r="D1605" s="102">
        <v>0</v>
      </c>
      <c r="E1605" s="71"/>
      <c r="F1605" s="74">
        <f t="shared" si="874"/>
        <v>0</v>
      </c>
      <c r="G1605" s="74"/>
      <c r="H1605" s="74">
        <f t="shared" si="881"/>
        <v>0</v>
      </c>
      <c r="I1605" s="71">
        <v>386</v>
      </c>
      <c r="J1605" s="73"/>
      <c r="K1605" s="74"/>
      <c r="L1605" s="74">
        <f t="shared" si="886"/>
        <v>0</v>
      </c>
      <c r="M1605" s="74"/>
      <c r="N1605" s="74">
        <f t="shared" si="887"/>
        <v>0</v>
      </c>
      <c r="O1605" s="74"/>
      <c r="P1605" s="67">
        <f>+N1605+M1605</f>
        <v>0</v>
      </c>
      <c r="Q1605" s="87" t="e">
        <f t="shared" si="873"/>
        <v>#DIV/0!</v>
      </c>
      <c r="R1605" s="206"/>
    </row>
    <row r="1606" spans="1:20" ht="14.1" customHeight="1" x14ac:dyDescent="0.2">
      <c r="A1606" s="89"/>
      <c r="B1606" s="90">
        <v>5526</v>
      </c>
      <c r="C1606" s="103" t="s">
        <v>473</v>
      </c>
      <c r="D1606" s="102">
        <v>0</v>
      </c>
      <c r="E1606" s="71"/>
      <c r="F1606" s="74">
        <f t="shared" si="874"/>
        <v>0</v>
      </c>
      <c r="G1606" s="74"/>
      <c r="H1606" s="74">
        <f t="shared" si="881"/>
        <v>0</v>
      </c>
      <c r="I1606" s="71">
        <v>380</v>
      </c>
      <c r="J1606" s="73"/>
      <c r="K1606" s="74"/>
      <c r="L1606" s="74">
        <f t="shared" si="886"/>
        <v>0</v>
      </c>
      <c r="M1606" s="74"/>
      <c r="N1606" s="74">
        <f t="shared" si="887"/>
        <v>0</v>
      </c>
      <c r="O1606" s="74"/>
      <c r="P1606" s="67">
        <f>+N1606+M1606</f>
        <v>0</v>
      </c>
      <c r="Q1606" s="87" t="e">
        <f t="shared" si="873"/>
        <v>#DIV/0!</v>
      </c>
      <c r="R1606" s="203"/>
    </row>
    <row r="1607" spans="1:20" ht="14.1" customHeight="1" x14ac:dyDescent="0.2">
      <c r="A1607" s="89"/>
      <c r="B1607" s="90">
        <v>5540</v>
      </c>
      <c r="C1607" s="72" t="s">
        <v>193</v>
      </c>
      <c r="D1607" s="102">
        <v>0</v>
      </c>
      <c r="E1607" s="71"/>
      <c r="F1607" s="74">
        <f t="shared" si="874"/>
        <v>0</v>
      </c>
      <c r="G1607" s="74"/>
      <c r="H1607" s="74">
        <f t="shared" si="881"/>
        <v>0</v>
      </c>
      <c r="I1607" s="71">
        <v>4692</v>
      </c>
      <c r="J1607" s="73">
        <v>600</v>
      </c>
      <c r="K1607" s="74"/>
      <c r="L1607" s="74">
        <f t="shared" si="886"/>
        <v>600</v>
      </c>
      <c r="M1607" s="74"/>
      <c r="N1607" s="74">
        <f t="shared" si="887"/>
        <v>600</v>
      </c>
      <c r="O1607" s="74">
        <v>823</v>
      </c>
      <c r="P1607" s="67">
        <v>7000</v>
      </c>
      <c r="Q1607" s="87">
        <f t="shared" si="873"/>
        <v>10.666666666666666</v>
      </c>
      <c r="R1607" s="203" t="s">
        <v>1273</v>
      </c>
    </row>
    <row r="1608" spans="1:20" ht="14.1" customHeight="1" x14ac:dyDescent="0.2">
      <c r="A1608" s="89"/>
      <c r="B1608" s="90">
        <v>601</v>
      </c>
      <c r="C1608" s="72" t="s">
        <v>246</v>
      </c>
      <c r="D1608" s="102">
        <v>0</v>
      </c>
      <c r="E1608" s="71"/>
      <c r="F1608" s="74">
        <f t="shared" si="874"/>
        <v>0</v>
      </c>
      <c r="G1608" s="74"/>
      <c r="H1608" s="74">
        <f t="shared" si="881"/>
        <v>0</v>
      </c>
      <c r="I1608" s="71">
        <v>30</v>
      </c>
      <c r="J1608" s="73"/>
      <c r="K1608" s="74"/>
      <c r="L1608" s="74">
        <f t="shared" si="886"/>
        <v>0</v>
      </c>
      <c r="M1608" s="74"/>
      <c r="N1608" s="74">
        <f t="shared" si="887"/>
        <v>0</v>
      </c>
      <c r="O1608" s="74"/>
      <c r="P1608" s="67">
        <f>+N1608+M1608</f>
        <v>0</v>
      </c>
      <c r="Q1608" s="87" t="e">
        <f t="shared" si="873"/>
        <v>#DIV/0!</v>
      </c>
      <c r="R1608" s="203"/>
    </row>
    <row r="1609" spans="1:20" ht="14.1" customHeight="1" x14ac:dyDescent="0.2">
      <c r="A1609" s="146" t="s">
        <v>492</v>
      </c>
      <c r="B1609" s="161">
        <v>4138</v>
      </c>
      <c r="C1609" s="148" t="s">
        <v>493</v>
      </c>
      <c r="D1609" s="43">
        <v>30000</v>
      </c>
      <c r="E1609" s="97"/>
      <c r="F1609" s="98">
        <f t="shared" si="874"/>
        <v>30000</v>
      </c>
      <c r="G1609" s="98"/>
      <c r="H1609" s="98">
        <v>30000</v>
      </c>
      <c r="I1609" s="97">
        <v>7810</v>
      </c>
      <c r="J1609" s="99">
        <v>30000</v>
      </c>
      <c r="K1609" s="98"/>
      <c r="L1609" s="139">
        <v>30000</v>
      </c>
      <c r="M1609" s="139"/>
      <c r="N1609" s="137">
        <f>N1610</f>
        <v>30000</v>
      </c>
      <c r="O1609" s="137">
        <f>O1610</f>
        <v>3300</v>
      </c>
      <c r="P1609" s="137">
        <f>P1610</f>
        <v>15000</v>
      </c>
      <c r="Q1609" s="87">
        <f t="shared" si="873"/>
        <v>-0.5</v>
      </c>
      <c r="R1609" s="203"/>
    </row>
    <row r="1610" spans="1:20" ht="14.1" customHeight="1" x14ac:dyDescent="0.2">
      <c r="A1610" s="87"/>
      <c r="B1610" s="90">
        <v>4138</v>
      </c>
      <c r="C1610" s="278" t="s">
        <v>1278</v>
      </c>
      <c r="D1610" s="88"/>
      <c r="E1610" s="88"/>
      <c r="F1610" s="88"/>
      <c r="G1610" s="88"/>
      <c r="H1610" s="88"/>
      <c r="I1610" s="88"/>
      <c r="J1610" s="88"/>
      <c r="K1610" s="88"/>
      <c r="L1610" s="88"/>
      <c r="M1610" s="88"/>
      <c r="N1610" s="279">
        <v>30000</v>
      </c>
      <c r="O1610" s="279">
        <v>3300</v>
      </c>
      <c r="P1610" s="279">
        <v>15000</v>
      </c>
      <c r="Q1610" s="88"/>
      <c r="R1610" s="203"/>
    </row>
    <row r="1611" spans="1:20" ht="14.1" customHeight="1" x14ac:dyDescent="0.2">
      <c r="A1611" s="146" t="s">
        <v>494</v>
      </c>
      <c r="B1611" s="161"/>
      <c r="C1611" s="148" t="s">
        <v>1274</v>
      </c>
      <c r="D1611" s="43">
        <v>12740</v>
      </c>
      <c r="E1611" s="97"/>
      <c r="F1611" s="98">
        <f t="shared" si="874"/>
        <v>12740</v>
      </c>
      <c r="G1611" s="98"/>
      <c r="H1611" s="98">
        <v>12740</v>
      </c>
      <c r="I1611" s="97">
        <v>12985</v>
      </c>
      <c r="J1611" s="99">
        <v>20000</v>
      </c>
      <c r="K1611" s="98">
        <v>20000</v>
      </c>
      <c r="L1611" s="139">
        <f>+K1611+J1611</f>
        <v>40000</v>
      </c>
      <c r="M1611" s="139"/>
      <c r="N1611" s="137">
        <f>N1612+N1613+N1614</f>
        <v>40000</v>
      </c>
      <c r="O1611" s="137">
        <f>O1612+O1613+O1614</f>
        <v>14356</v>
      </c>
      <c r="P1611" s="137">
        <f>P1612+P1613+P1614</f>
        <v>40250</v>
      </c>
      <c r="Q1611" s="87">
        <f t="shared" si="873"/>
        <v>6.2500000000000003E-3</v>
      </c>
      <c r="R1611" s="203"/>
    </row>
    <row r="1612" spans="1:20" ht="14.1" customHeight="1" x14ac:dyDescent="0.2">
      <c r="A1612" s="89"/>
      <c r="B1612" s="90">
        <v>4138</v>
      </c>
      <c r="C1612" s="96" t="s">
        <v>1275</v>
      </c>
      <c r="D1612" s="43"/>
      <c r="E1612" s="97"/>
      <c r="F1612" s="98"/>
      <c r="G1612" s="98"/>
      <c r="H1612" s="98"/>
      <c r="I1612" s="97"/>
      <c r="J1612" s="99"/>
      <c r="K1612" s="99"/>
      <c r="L1612" s="280"/>
      <c r="M1612" s="280"/>
      <c r="N1612" s="280">
        <v>40000</v>
      </c>
      <c r="O1612" s="280">
        <v>3250</v>
      </c>
      <c r="P1612" s="139">
        <v>3250</v>
      </c>
      <c r="Q1612" s="87" t="s">
        <v>1277</v>
      </c>
      <c r="R1612" s="203"/>
    </row>
    <row r="1613" spans="1:20" ht="14.1" customHeight="1" x14ac:dyDescent="0.2">
      <c r="A1613" s="89"/>
      <c r="B1613" s="95">
        <v>50</v>
      </c>
      <c r="C1613" s="96" t="s">
        <v>102</v>
      </c>
      <c r="D1613" s="43"/>
      <c r="E1613" s="97"/>
      <c r="F1613" s="98"/>
      <c r="G1613" s="98"/>
      <c r="H1613" s="98"/>
      <c r="I1613" s="97"/>
      <c r="J1613" s="99"/>
      <c r="K1613" s="99"/>
      <c r="L1613" s="280"/>
      <c r="M1613" s="280"/>
      <c r="N1613" s="281"/>
      <c r="O1613" s="281">
        <v>3760</v>
      </c>
      <c r="P1613" s="78">
        <v>22200</v>
      </c>
      <c r="Q1613" s="87" t="s">
        <v>1320</v>
      </c>
      <c r="R1613" s="203"/>
    </row>
    <row r="1614" spans="1:20" ht="14.1" customHeight="1" x14ac:dyDescent="0.2">
      <c r="A1614" s="89"/>
      <c r="B1614" s="95">
        <v>55</v>
      </c>
      <c r="C1614" s="96" t="s">
        <v>465</v>
      </c>
      <c r="D1614" s="43"/>
      <c r="E1614" s="97"/>
      <c r="F1614" s="98"/>
      <c r="G1614" s="98"/>
      <c r="H1614" s="98"/>
      <c r="I1614" s="97"/>
      <c r="J1614" s="99"/>
      <c r="K1614" s="99"/>
      <c r="L1614" s="280"/>
      <c r="M1614" s="280"/>
      <c r="N1614" s="231"/>
      <c r="O1614" s="141">
        <f>O1615+O1616+O1617</f>
        <v>7346</v>
      </c>
      <c r="P1614" s="141">
        <f>P1615+P1616</f>
        <v>14800</v>
      </c>
      <c r="Q1614" s="282" t="s">
        <v>1276</v>
      </c>
      <c r="R1614" s="203"/>
    </row>
    <row r="1615" spans="1:20" ht="14.1" customHeight="1" x14ac:dyDescent="0.2">
      <c r="A1615" s="89"/>
      <c r="B1615" s="90">
        <v>5504</v>
      </c>
      <c r="C1615" s="72" t="s">
        <v>245</v>
      </c>
      <c r="D1615" s="43"/>
      <c r="E1615" s="97"/>
      <c r="F1615" s="98"/>
      <c r="G1615" s="98"/>
      <c r="H1615" s="98"/>
      <c r="I1615" s="97"/>
      <c r="J1615" s="99"/>
      <c r="K1615" s="99"/>
      <c r="L1615" s="280"/>
      <c r="M1615" s="280"/>
      <c r="N1615" s="99"/>
      <c r="O1615" s="159">
        <v>3261</v>
      </c>
      <c r="P1615" s="67">
        <v>13100</v>
      </c>
      <c r="R1615" s="203"/>
    </row>
    <row r="1616" spans="1:20" ht="14.1" customHeight="1" x14ac:dyDescent="0.2">
      <c r="A1616" s="89"/>
      <c r="B1616" s="90">
        <v>5521</v>
      </c>
      <c r="C1616" s="72" t="s">
        <v>263</v>
      </c>
      <c r="D1616" s="43"/>
      <c r="E1616" s="97"/>
      <c r="F1616" s="98"/>
      <c r="G1616" s="98"/>
      <c r="H1616" s="98"/>
      <c r="I1616" s="97"/>
      <c r="J1616" s="99"/>
      <c r="K1616" s="99"/>
      <c r="L1616" s="280"/>
      <c r="M1616" s="280"/>
      <c r="N1616" s="99"/>
      <c r="O1616" s="159">
        <v>760</v>
      </c>
      <c r="P1616" s="67">
        <v>1700</v>
      </c>
      <c r="R1616" s="203"/>
    </row>
    <row r="1617" spans="1:27" ht="14.1" customHeight="1" x14ac:dyDescent="0.2">
      <c r="A1617" s="89"/>
      <c r="B1617" s="90">
        <v>5525</v>
      </c>
      <c r="C1617" s="72" t="s">
        <v>139</v>
      </c>
      <c r="D1617" s="43"/>
      <c r="E1617" s="97"/>
      <c r="F1617" s="98"/>
      <c r="G1617" s="98"/>
      <c r="H1617" s="98"/>
      <c r="I1617" s="97"/>
      <c r="J1617" s="99"/>
      <c r="K1617" s="99"/>
      <c r="L1617" s="280"/>
      <c r="M1617" s="280"/>
      <c r="N1617" s="99"/>
      <c r="O1617" s="159">
        <v>3325</v>
      </c>
      <c r="P1617" s="127"/>
      <c r="R1617" s="203"/>
    </row>
    <row r="1618" spans="1:27" s="53" customFormat="1" ht="14.1" customHeight="1" x14ac:dyDescent="0.2">
      <c r="A1618" s="79" t="s">
        <v>95</v>
      </c>
      <c r="B1618" s="80"/>
      <c r="C1618" s="81" t="s">
        <v>495</v>
      </c>
      <c r="D1618" s="82">
        <v>17947087</v>
      </c>
      <c r="E1618" s="83">
        <f>+E117+E167+E175+E186+E262+E288+E344+E359+E955+E1450</f>
        <v>292873.40000000002</v>
      </c>
      <c r="F1618" s="86">
        <f t="shared" si="874"/>
        <v>18239960.399999999</v>
      </c>
      <c r="G1618" s="86">
        <f t="shared" ref="G1618:P1618" si="888">+G117+G167+G175+G186+G262+G288+G344+G359+G955+G1450</f>
        <v>630012</v>
      </c>
      <c r="H1618" s="86">
        <f t="shared" si="888"/>
        <v>18742432.399999999</v>
      </c>
      <c r="I1618" s="83">
        <f t="shared" si="888"/>
        <v>14591427.140000001</v>
      </c>
      <c r="J1618" s="82">
        <f t="shared" si="888"/>
        <v>20332685</v>
      </c>
      <c r="K1618" s="82">
        <f t="shared" si="888"/>
        <v>297869.63</v>
      </c>
      <c r="L1618" s="82">
        <f t="shared" si="888"/>
        <v>20454654.630000003</v>
      </c>
      <c r="M1618" s="283">
        <f t="shared" si="888"/>
        <v>706084</v>
      </c>
      <c r="N1618" s="82">
        <f t="shared" si="888"/>
        <v>21288278.630000003</v>
      </c>
      <c r="O1618" s="82">
        <f t="shared" si="888"/>
        <v>17322477</v>
      </c>
      <c r="P1618" s="82">
        <f t="shared" si="888"/>
        <v>25810688</v>
      </c>
      <c r="Q1618" s="87">
        <f t="shared" si="873"/>
        <v>0.2124365923897153</v>
      </c>
      <c r="R1618" s="206" t="s">
        <v>1319</v>
      </c>
      <c r="S1618" s="56"/>
      <c r="T1618" s="56"/>
      <c r="U1618" s="56"/>
      <c r="V1618" s="56"/>
      <c r="W1618" s="56"/>
      <c r="X1618" s="56"/>
      <c r="Y1618" s="56"/>
      <c r="Z1618" s="56"/>
      <c r="AA1618" s="56"/>
    </row>
    <row r="1619" spans="1:27" s="53" customFormat="1" ht="14.1" customHeight="1" x14ac:dyDescent="0.2">
      <c r="A1619" s="79"/>
      <c r="B1619" s="80"/>
      <c r="C1619" s="81" t="s">
        <v>496</v>
      </c>
      <c r="D1619" s="82">
        <v>3429921</v>
      </c>
      <c r="E1619" s="83">
        <f>+E104-E1618</f>
        <v>-168240.40000000002</v>
      </c>
      <c r="F1619" s="86">
        <f t="shared" si="874"/>
        <v>3261680.6</v>
      </c>
      <c r="G1619" s="86">
        <f>SUM(G104-G1618)</f>
        <v>-590822</v>
      </c>
      <c r="H1619" s="86">
        <f>SUM(H104-H1618)</f>
        <v>2798398.6000000015</v>
      </c>
      <c r="I1619" s="83">
        <f t="shared" ref="I1619:P1619" si="889">+I104-I1618</f>
        <v>3779739.8599999994</v>
      </c>
      <c r="J1619" s="82">
        <f t="shared" si="889"/>
        <v>2585657.1000000015</v>
      </c>
      <c r="K1619" s="82">
        <f t="shared" si="889"/>
        <v>567183.37</v>
      </c>
      <c r="L1619" s="82">
        <f t="shared" si="889"/>
        <v>3328740.4699999988</v>
      </c>
      <c r="M1619" s="283">
        <f t="shared" si="889"/>
        <v>218890</v>
      </c>
      <c r="N1619" s="82">
        <f t="shared" si="889"/>
        <v>3420090.4699999988</v>
      </c>
      <c r="O1619" s="82">
        <f t="shared" si="889"/>
        <v>4069088</v>
      </c>
      <c r="P1619" s="82">
        <f t="shared" si="889"/>
        <v>2998421</v>
      </c>
      <c r="Q1619" s="87">
        <f t="shared" si="873"/>
        <v>-0.12329190519922092</v>
      </c>
      <c r="R1619" s="226" t="s">
        <v>1334</v>
      </c>
      <c r="T1619" s="56"/>
      <c r="U1619" s="56"/>
      <c r="V1619" s="56"/>
      <c r="W1619" s="56"/>
      <c r="X1619" s="56"/>
      <c r="Y1619" s="56"/>
      <c r="Z1619" s="56"/>
      <c r="AA1619" s="56"/>
    </row>
    <row r="1620" spans="1:27" s="53" customFormat="1" ht="14.1" customHeight="1" x14ac:dyDescent="0.2">
      <c r="A1620" s="89"/>
      <c r="B1620" s="90"/>
      <c r="C1620" s="284"/>
      <c r="D1620" s="43"/>
      <c r="E1620" s="71"/>
      <c r="F1620" s="72"/>
      <c r="G1620" s="72"/>
      <c r="H1620" s="72"/>
      <c r="I1620" s="71"/>
      <c r="J1620" s="73"/>
      <c r="K1620" s="74"/>
      <c r="L1620" s="74"/>
      <c r="M1620" s="74"/>
      <c r="N1620" s="74"/>
      <c r="O1620" s="74"/>
      <c r="P1620" s="67"/>
      <c r="Q1620" s="210"/>
      <c r="R1620" s="203">
        <f>+N1619-P1619</f>
        <v>421669.46999999881</v>
      </c>
      <c r="S1620" s="56"/>
      <c r="T1620" s="56"/>
      <c r="U1620" s="56"/>
      <c r="V1620" s="56"/>
      <c r="W1620" s="56"/>
      <c r="X1620" s="56"/>
      <c r="Y1620" s="56"/>
      <c r="Z1620" s="56"/>
      <c r="AA1620" s="56"/>
    </row>
    <row r="1621" spans="1:27" s="53" customFormat="1" ht="14.1" customHeight="1" x14ac:dyDescent="0.2">
      <c r="A1621" s="89"/>
      <c r="B1621" s="90"/>
      <c r="C1621" s="284"/>
      <c r="D1621" s="43"/>
      <c r="E1621" s="71"/>
      <c r="F1621" s="72"/>
      <c r="G1621" s="72"/>
      <c r="H1621" s="72"/>
      <c r="I1621" s="71"/>
      <c r="J1621" s="73"/>
      <c r="K1621" s="74"/>
      <c r="L1621" s="74"/>
      <c r="M1621" s="74"/>
      <c r="N1621" s="74"/>
      <c r="O1621" s="74"/>
      <c r="P1621" s="67"/>
      <c r="Q1621" s="210"/>
      <c r="R1621" s="203"/>
      <c r="S1621" s="56"/>
      <c r="T1621" s="56"/>
      <c r="U1621" s="56"/>
      <c r="V1621" s="56"/>
      <c r="W1621" s="56"/>
      <c r="X1621" s="56"/>
      <c r="Y1621" s="56"/>
      <c r="Z1621" s="56"/>
      <c r="AA1621" s="56"/>
    </row>
    <row r="1622" spans="1:27" s="53" customFormat="1" ht="14.1" customHeight="1" x14ac:dyDescent="0.2">
      <c r="A1622" s="94"/>
      <c r="B1622" s="90"/>
      <c r="C1622" s="285"/>
      <c r="D1622" s="43"/>
      <c r="E1622" s="71"/>
      <c r="F1622" s="72"/>
      <c r="G1622" s="72"/>
      <c r="H1622" s="72"/>
      <c r="I1622" s="71"/>
      <c r="J1622" s="73"/>
      <c r="K1622" s="74"/>
      <c r="L1622" s="74"/>
      <c r="M1622" s="74"/>
      <c r="N1622" s="74"/>
      <c r="O1622" s="74"/>
      <c r="P1622" s="67"/>
      <c r="Q1622" s="210"/>
      <c r="R1622" s="203"/>
      <c r="S1622" s="56"/>
      <c r="T1622" s="56"/>
      <c r="U1622" s="56"/>
      <c r="V1622" s="56"/>
      <c r="W1622" s="56"/>
      <c r="X1622" s="57"/>
      <c r="Y1622" s="56"/>
      <c r="Z1622" s="56"/>
      <c r="AA1622" s="56"/>
    </row>
    <row r="1623" spans="1:27" ht="14.1" customHeight="1" x14ac:dyDescent="0.2">
      <c r="A1623" s="286" t="s">
        <v>497</v>
      </c>
      <c r="B1623" s="80"/>
      <c r="C1623" s="287" t="s">
        <v>498</v>
      </c>
      <c r="D1623" s="82"/>
      <c r="E1623" s="134"/>
      <c r="F1623" s="288"/>
      <c r="G1623" s="288"/>
      <c r="H1623" s="288"/>
      <c r="I1623" s="134"/>
      <c r="J1623" s="135"/>
      <c r="K1623" s="136"/>
      <c r="L1623" s="136"/>
      <c r="M1623" s="136"/>
      <c r="N1623" s="136"/>
      <c r="O1623" s="136"/>
      <c r="P1623" s="136"/>
      <c r="X1623" s="57"/>
    </row>
    <row r="1624" spans="1:27" ht="14.1" customHeight="1" x14ac:dyDescent="0.2">
      <c r="A1624" s="146">
        <v>3502</v>
      </c>
      <c r="B1624" s="147">
        <v>31038</v>
      </c>
      <c r="C1624" s="148" t="s">
        <v>499</v>
      </c>
      <c r="D1624" s="189">
        <f t="shared" ref="D1624:M1624" si="890">SUM(D1625:D1654)</f>
        <v>751000</v>
      </c>
      <c r="E1624" s="189">
        <f t="shared" si="890"/>
        <v>-64358</v>
      </c>
      <c r="F1624" s="189">
        <f t="shared" si="890"/>
        <v>686642</v>
      </c>
      <c r="G1624" s="189">
        <f t="shared" si="890"/>
        <v>-134235</v>
      </c>
      <c r="H1624" s="189">
        <f t="shared" si="890"/>
        <v>552407</v>
      </c>
      <c r="I1624" s="189">
        <f t="shared" si="890"/>
        <v>202971</v>
      </c>
      <c r="J1624" s="189">
        <f t="shared" si="890"/>
        <v>1672979</v>
      </c>
      <c r="K1624" s="189">
        <f t="shared" si="890"/>
        <v>-621000</v>
      </c>
      <c r="L1624" s="189">
        <f t="shared" si="890"/>
        <v>1051979</v>
      </c>
      <c r="M1624" s="189">
        <f t="shared" si="890"/>
        <v>-431000</v>
      </c>
      <c r="N1624" s="189">
        <f>SUM(N1625:N1654)</f>
        <v>620979</v>
      </c>
      <c r="O1624" s="189">
        <f t="shared" ref="O1624:P1624" si="891">SUM(O1625:O1654)</f>
        <v>0</v>
      </c>
      <c r="P1624" s="189">
        <f t="shared" si="891"/>
        <v>2728187</v>
      </c>
      <c r="Q1624" s="49" t="s">
        <v>1333</v>
      </c>
    </row>
    <row r="1625" spans="1:27" ht="12.75" hidden="1" customHeight="1" x14ac:dyDescent="0.2">
      <c r="A1625" s="94"/>
      <c r="B1625" s="95"/>
      <c r="C1625" s="72" t="s">
        <v>500</v>
      </c>
      <c r="D1625" s="102"/>
      <c r="E1625" s="71">
        <v>275000</v>
      </c>
      <c r="F1625" s="73">
        <f t="shared" ref="F1625:F1639" si="892">+D1625+E1625</f>
        <v>275000</v>
      </c>
      <c r="G1625" s="73">
        <v>22765</v>
      </c>
      <c r="H1625" s="73">
        <f>+G1625+F1625</f>
        <v>297765</v>
      </c>
      <c r="I1625" s="71"/>
      <c r="J1625" s="73"/>
      <c r="K1625" s="74"/>
      <c r="L1625" s="74">
        <f>+K1625+J1625</f>
        <v>0</v>
      </c>
      <c r="M1625" s="74"/>
      <c r="N1625" s="74">
        <f t="shared" ref="N1625:N1640" si="893">+M1625+L1625</f>
        <v>0</v>
      </c>
      <c r="O1625" s="74"/>
      <c r="P1625" s="67">
        <f t="shared" ref="P1625:P1633" si="894">+N1625+M1625</f>
        <v>0</v>
      </c>
    </row>
    <row r="1626" spans="1:27" ht="0.6" customHeight="1" x14ac:dyDescent="0.2">
      <c r="A1626" s="194" t="s">
        <v>501</v>
      </c>
      <c r="B1626" s="90"/>
      <c r="C1626" s="72"/>
      <c r="D1626" s="102">
        <v>0</v>
      </c>
      <c r="E1626" s="71"/>
      <c r="F1626" s="73">
        <f t="shared" si="892"/>
        <v>0</v>
      </c>
      <c r="G1626" s="73"/>
      <c r="H1626" s="73">
        <f t="shared" ref="H1626:H1646" si="895">+G1626+F1626</f>
        <v>0</v>
      </c>
      <c r="I1626" s="71"/>
      <c r="J1626" s="73"/>
      <c r="K1626" s="74"/>
      <c r="L1626" s="74">
        <f t="shared" ref="L1626:L1654" si="896">+K1626+J1626</f>
        <v>0</v>
      </c>
      <c r="M1626" s="74"/>
      <c r="N1626" s="74">
        <f t="shared" si="893"/>
        <v>0</v>
      </c>
      <c r="O1626" s="74"/>
      <c r="P1626" s="67">
        <f t="shared" si="894"/>
        <v>0</v>
      </c>
    </row>
    <row r="1627" spans="1:27" ht="14.1" hidden="1" customHeight="1" x14ac:dyDescent="0.2">
      <c r="A1627" s="89" t="s">
        <v>502</v>
      </c>
      <c r="B1627" s="90"/>
      <c r="C1627" s="72"/>
      <c r="D1627" s="102">
        <v>0</v>
      </c>
      <c r="E1627" s="71"/>
      <c r="F1627" s="73">
        <f t="shared" si="892"/>
        <v>0</v>
      </c>
      <c r="G1627" s="73"/>
      <c r="H1627" s="73">
        <f t="shared" si="895"/>
        <v>0</v>
      </c>
      <c r="I1627" s="71"/>
      <c r="J1627" s="73"/>
      <c r="K1627" s="74"/>
      <c r="L1627" s="74">
        <f t="shared" si="896"/>
        <v>0</v>
      </c>
      <c r="M1627" s="74"/>
      <c r="N1627" s="74">
        <f t="shared" si="893"/>
        <v>0</v>
      </c>
      <c r="O1627" s="74"/>
      <c r="P1627" s="67">
        <f t="shared" si="894"/>
        <v>0</v>
      </c>
    </row>
    <row r="1628" spans="1:27" ht="14.1" hidden="1" customHeight="1" x14ac:dyDescent="0.2">
      <c r="A1628" s="89" t="s">
        <v>503</v>
      </c>
      <c r="B1628" s="90"/>
      <c r="C1628" s="72" t="s">
        <v>504</v>
      </c>
      <c r="D1628" s="102">
        <v>0</v>
      </c>
      <c r="E1628" s="71"/>
      <c r="F1628" s="73">
        <f t="shared" si="892"/>
        <v>0</v>
      </c>
      <c r="G1628" s="73">
        <v>-157000</v>
      </c>
      <c r="H1628" s="73">
        <f t="shared" si="895"/>
        <v>-157000</v>
      </c>
      <c r="I1628" s="71"/>
      <c r="J1628" s="73"/>
      <c r="K1628" s="74"/>
      <c r="L1628" s="74">
        <f t="shared" si="896"/>
        <v>0</v>
      </c>
      <c r="M1628" s="74"/>
      <c r="N1628" s="74">
        <f t="shared" si="893"/>
        <v>0</v>
      </c>
      <c r="O1628" s="74"/>
      <c r="P1628" s="67">
        <f t="shared" si="894"/>
        <v>0</v>
      </c>
    </row>
    <row r="1629" spans="1:27" ht="14.1" hidden="1" customHeight="1" x14ac:dyDescent="0.2">
      <c r="A1629" s="89" t="s">
        <v>503</v>
      </c>
      <c r="B1629" s="90"/>
      <c r="C1629" s="72"/>
      <c r="D1629" s="102">
        <v>0</v>
      </c>
      <c r="E1629" s="71"/>
      <c r="F1629" s="73">
        <f t="shared" si="892"/>
        <v>0</v>
      </c>
      <c r="G1629" s="73"/>
      <c r="H1629" s="73">
        <f t="shared" si="895"/>
        <v>0</v>
      </c>
      <c r="I1629" s="71"/>
      <c r="J1629" s="73"/>
      <c r="K1629" s="74"/>
      <c r="L1629" s="74">
        <f t="shared" si="896"/>
        <v>0</v>
      </c>
      <c r="M1629" s="74"/>
      <c r="N1629" s="74">
        <f t="shared" si="893"/>
        <v>0</v>
      </c>
      <c r="O1629" s="74"/>
      <c r="P1629" s="67">
        <f t="shared" si="894"/>
        <v>0</v>
      </c>
    </row>
    <row r="1630" spans="1:27" ht="13.5" hidden="1" customHeight="1" x14ac:dyDescent="0.2">
      <c r="A1630" s="89" t="s">
        <v>501</v>
      </c>
      <c r="B1630" s="90"/>
      <c r="C1630" s="72" t="s">
        <v>505</v>
      </c>
      <c r="D1630" s="102">
        <v>0</v>
      </c>
      <c r="E1630" s="71"/>
      <c r="F1630" s="73">
        <f t="shared" si="892"/>
        <v>0</v>
      </c>
      <c r="G1630" s="73"/>
      <c r="H1630" s="73">
        <f t="shared" si="895"/>
        <v>0</v>
      </c>
      <c r="I1630" s="71"/>
      <c r="J1630" s="73"/>
      <c r="K1630" s="74"/>
      <c r="L1630" s="74">
        <f t="shared" si="896"/>
        <v>0</v>
      </c>
      <c r="M1630" s="74"/>
      <c r="N1630" s="74">
        <f t="shared" si="893"/>
        <v>0</v>
      </c>
      <c r="O1630" s="74"/>
      <c r="P1630" s="67">
        <f t="shared" si="894"/>
        <v>0</v>
      </c>
    </row>
    <row r="1631" spans="1:27" ht="14.1" hidden="1" customHeight="1" x14ac:dyDescent="0.2">
      <c r="A1631" s="89" t="s">
        <v>501</v>
      </c>
      <c r="B1631" s="90"/>
      <c r="C1631" s="72"/>
      <c r="D1631" s="102">
        <v>0</v>
      </c>
      <c r="E1631" s="71"/>
      <c r="F1631" s="73">
        <f t="shared" si="892"/>
        <v>0</v>
      </c>
      <c r="G1631" s="73"/>
      <c r="H1631" s="73">
        <f t="shared" si="895"/>
        <v>0</v>
      </c>
      <c r="I1631" s="71"/>
      <c r="J1631" s="73"/>
      <c r="K1631" s="74"/>
      <c r="L1631" s="74">
        <f t="shared" si="896"/>
        <v>0</v>
      </c>
      <c r="M1631" s="74"/>
      <c r="N1631" s="74">
        <f t="shared" si="893"/>
        <v>0</v>
      </c>
      <c r="O1631" s="74"/>
      <c r="P1631" s="67">
        <f t="shared" si="894"/>
        <v>0</v>
      </c>
    </row>
    <row r="1632" spans="1:27" ht="13.5" hidden="1" customHeight="1" x14ac:dyDescent="0.2">
      <c r="A1632" s="89" t="s">
        <v>506</v>
      </c>
      <c r="B1632" s="90"/>
      <c r="C1632" s="72" t="s">
        <v>507</v>
      </c>
      <c r="D1632" s="102">
        <v>100000</v>
      </c>
      <c r="E1632" s="71"/>
      <c r="F1632" s="73">
        <f t="shared" si="892"/>
        <v>100000</v>
      </c>
      <c r="G1632" s="73"/>
      <c r="H1632" s="73">
        <f t="shared" si="895"/>
        <v>100000</v>
      </c>
      <c r="I1632" s="71"/>
      <c r="J1632" s="73"/>
      <c r="K1632" s="74"/>
      <c r="L1632" s="74">
        <f t="shared" si="896"/>
        <v>0</v>
      </c>
      <c r="M1632" s="74"/>
      <c r="N1632" s="74">
        <f t="shared" si="893"/>
        <v>0</v>
      </c>
      <c r="O1632" s="74"/>
      <c r="P1632" s="67">
        <f t="shared" si="894"/>
        <v>0</v>
      </c>
    </row>
    <row r="1633" spans="1:20" ht="14.1" customHeight="1" x14ac:dyDescent="0.2">
      <c r="A1633" s="89" t="s">
        <v>502</v>
      </c>
      <c r="B1633" s="90"/>
      <c r="C1633" s="72" t="s">
        <v>508</v>
      </c>
      <c r="D1633" s="102">
        <v>100000</v>
      </c>
      <c r="E1633" s="71"/>
      <c r="F1633" s="73">
        <f t="shared" si="892"/>
        <v>100000</v>
      </c>
      <c r="G1633" s="73"/>
      <c r="H1633" s="73">
        <f t="shared" si="895"/>
        <v>100000</v>
      </c>
      <c r="I1633" s="71">
        <v>100000</v>
      </c>
      <c r="J1633" s="73">
        <v>100000</v>
      </c>
      <c r="K1633" s="74"/>
      <c r="L1633" s="74">
        <f t="shared" si="896"/>
        <v>100000</v>
      </c>
      <c r="M1633" s="74"/>
      <c r="N1633" s="74">
        <f t="shared" si="893"/>
        <v>100000</v>
      </c>
      <c r="O1633" s="74"/>
      <c r="P1633" s="67">
        <f t="shared" si="894"/>
        <v>100000</v>
      </c>
      <c r="Q1633" s="209" t="s">
        <v>750</v>
      </c>
    </row>
    <row r="1634" spans="1:20" ht="14.1" customHeight="1" x14ac:dyDescent="0.2">
      <c r="A1634" s="89" t="s">
        <v>509</v>
      </c>
      <c r="B1634" s="90"/>
      <c r="C1634" s="72" t="s">
        <v>510</v>
      </c>
      <c r="D1634" s="102">
        <v>25000</v>
      </c>
      <c r="E1634" s="71"/>
      <c r="F1634" s="73">
        <f t="shared" si="892"/>
        <v>25000</v>
      </c>
      <c r="G1634" s="73"/>
      <c r="H1634" s="73">
        <f t="shared" si="895"/>
        <v>25000</v>
      </c>
      <c r="I1634" s="71">
        <v>25000</v>
      </c>
      <c r="J1634" s="73">
        <v>25000</v>
      </c>
      <c r="K1634" s="74"/>
      <c r="L1634" s="74">
        <f t="shared" si="896"/>
        <v>25000</v>
      </c>
      <c r="M1634" s="74"/>
      <c r="N1634" s="74">
        <f t="shared" si="893"/>
        <v>25000</v>
      </c>
      <c r="O1634" s="74"/>
      <c r="P1634" s="67">
        <v>0</v>
      </c>
    </row>
    <row r="1635" spans="1:20" ht="12.6" customHeight="1" x14ac:dyDescent="0.2">
      <c r="A1635" s="89" t="s">
        <v>509</v>
      </c>
      <c r="B1635" s="90"/>
      <c r="C1635" s="72" t="s">
        <v>1336</v>
      </c>
      <c r="D1635" s="102">
        <v>200000</v>
      </c>
      <c r="E1635" s="71">
        <v>-200000</v>
      </c>
      <c r="F1635" s="73">
        <f t="shared" si="892"/>
        <v>0</v>
      </c>
      <c r="G1635" s="73"/>
      <c r="H1635" s="73">
        <f t="shared" si="895"/>
        <v>0</v>
      </c>
      <c r="I1635" s="71"/>
      <c r="J1635" s="73">
        <v>200000</v>
      </c>
      <c r="K1635" s="74"/>
      <c r="L1635" s="74">
        <f t="shared" si="896"/>
        <v>200000</v>
      </c>
      <c r="M1635" s="74"/>
      <c r="N1635" s="74">
        <f t="shared" si="893"/>
        <v>200000</v>
      </c>
      <c r="O1635" s="74"/>
      <c r="P1635" s="67">
        <v>210000</v>
      </c>
      <c r="Q1635" s="254">
        <v>210000</v>
      </c>
      <c r="R1635" s="289"/>
      <c r="S1635" s="254" t="s">
        <v>655</v>
      </c>
      <c r="T1635" s="56">
        <v>2023</v>
      </c>
    </row>
    <row r="1636" spans="1:20" ht="14.1" hidden="1" customHeight="1" x14ac:dyDescent="0.2">
      <c r="A1636" s="89" t="s">
        <v>502</v>
      </c>
      <c r="B1636" s="90"/>
      <c r="C1636" s="72" t="s">
        <v>511</v>
      </c>
      <c r="D1636" s="102">
        <v>41000</v>
      </c>
      <c r="E1636" s="71"/>
      <c r="F1636" s="73">
        <f t="shared" si="892"/>
        <v>41000</v>
      </c>
      <c r="G1636" s="73"/>
      <c r="H1636" s="73">
        <f t="shared" si="895"/>
        <v>41000</v>
      </c>
      <c r="I1636" s="71">
        <v>40556</v>
      </c>
      <c r="J1636" s="73"/>
      <c r="K1636" s="74"/>
      <c r="L1636" s="74">
        <f t="shared" si="896"/>
        <v>0</v>
      </c>
      <c r="M1636" s="74"/>
      <c r="N1636" s="74">
        <f t="shared" si="893"/>
        <v>0</v>
      </c>
      <c r="O1636" s="74"/>
      <c r="P1636" s="67">
        <f>+N1636+M1636</f>
        <v>0</v>
      </c>
      <c r="S1636" s="49"/>
    </row>
    <row r="1637" spans="1:20" ht="14.1" hidden="1" customHeight="1" x14ac:dyDescent="0.2">
      <c r="A1637" s="89" t="s">
        <v>503</v>
      </c>
      <c r="B1637" s="90"/>
      <c r="C1637" s="72" t="s">
        <v>352</v>
      </c>
      <c r="D1637" s="102">
        <v>172000</v>
      </c>
      <c r="E1637" s="71">
        <v>-26358</v>
      </c>
      <c r="F1637" s="73">
        <f t="shared" si="892"/>
        <v>145642</v>
      </c>
      <c r="G1637" s="73"/>
      <c r="H1637" s="73">
        <f t="shared" si="895"/>
        <v>145642</v>
      </c>
      <c r="I1637" s="71"/>
      <c r="J1637" s="73"/>
      <c r="K1637" s="74"/>
      <c r="L1637" s="74">
        <f t="shared" si="896"/>
        <v>0</v>
      </c>
      <c r="M1637" s="74"/>
      <c r="N1637" s="74">
        <f t="shared" si="893"/>
        <v>0</v>
      </c>
      <c r="O1637" s="74"/>
      <c r="P1637" s="67">
        <f>+N1637+M1637</f>
        <v>0</v>
      </c>
      <c r="S1637" s="49"/>
    </row>
    <row r="1638" spans="1:20" ht="14.1" hidden="1" customHeight="1" x14ac:dyDescent="0.2">
      <c r="A1638" s="89" t="s">
        <v>503</v>
      </c>
      <c r="B1638" s="90"/>
      <c r="C1638" s="72" t="s">
        <v>365</v>
      </c>
      <c r="D1638" s="102">
        <v>113000</v>
      </c>
      <c r="E1638" s="71">
        <v>-113000</v>
      </c>
      <c r="F1638" s="73">
        <f t="shared" si="892"/>
        <v>0</v>
      </c>
      <c r="G1638" s="73"/>
      <c r="H1638" s="73">
        <f t="shared" si="895"/>
        <v>0</v>
      </c>
      <c r="I1638" s="71"/>
      <c r="J1638" s="73"/>
      <c r="K1638" s="74"/>
      <c r="L1638" s="74">
        <f t="shared" si="896"/>
        <v>0</v>
      </c>
      <c r="M1638" s="74"/>
      <c r="N1638" s="74">
        <f t="shared" si="893"/>
        <v>0</v>
      </c>
      <c r="O1638" s="74"/>
      <c r="P1638" s="67">
        <f>+N1638+M1638</f>
        <v>0</v>
      </c>
      <c r="S1638" s="49"/>
    </row>
    <row r="1639" spans="1:20" ht="0.6" hidden="1" customHeight="1" x14ac:dyDescent="0.2">
      <c r="A1639" s="89" t="s">
        <v>509</v>
      </c>
      <c r="B1639" s="90"/>
      <c r="C1639" s="72"/>
      <c r="D1639" s="102">
        <v>0</v>
      </c>
      <c r="E1639" s="71"/>
      <c r="F1639" s="73">
        <f t="shared" si="892"/>
        <v>0</v>
      </c>
      <c r="G1639" s="73"/>
      <c r="H1639" s="73">
        <f t="shared" si="895"/>
        <v>0</v>
      </c>
      <c r="I1639" s="71"/>
      <c r="J1639" s="73"/>
      <c r="K1639" s="74"/>
      <c r="L1639" s="74">
        <f t="shared" si="896"/>
        <v>0</v>
      </c>
      <c r="M1639" s="74"/>
      <c r="N1639" s="74">
        <f t="shared" si="893"/>
        <v>0</v>
      </c>
      <c r="O1639" s="74"/>
      <c r="P1639" s="67">
        <f>+N1639+M1639</f>
        <v>0</v>
      </c>
      <c r="S1639" s="49"/>
    </row>
    <row r="1640" spans="1:20" ht="14.1" customHeight="1" x14ac:dyDescent="0.2">
      <c r="A1640" s="89"/>
      <c r="B1640" s="90"/>
      <c r="C1640" s="72" t="s">
        <v>512</v>
      </c>
      <c r="D1640" s="102"/>
      <c r="E1640" s="71"/>
      <c r="F1640" s="73"/>
      <c r="G1640" s="73"/>
      <c r="H1640" s="73">
        <f t="shared" si="895"/>
        <v>0</v>
      </c>
      <c r="I1640" s="71"/>
      <c r="J1640" s="73">
        <v>100000</v>
      </c>
      <c r="K1640" s="74"/>
      <c r="L1640" s="74">
        <f t="shared" si="896"/>
        <v>100000</v>
      </c>
      <c r="M1640" s="92">
        <v>-100000</v>
      </c>
      <c r="N1640" s="74">
        <f t="shared" si="893"/>
        <v>0</v>
      </c>
      <c r="O1640" s="74"/>
      <c r="P1640" s="67">
        <v>0</v>
      </c>
      <c r="Q1640" s="226" t="s">
        <v>662</v>
      </c>
      <c r="R1640" s="173"/>
      <c r="S1640" s="49"/>
    </row>
    <row r="1641" spans="1:20" ht="14.1" customHeight="1" x14ac:dyDescent="0.2">
      <c r="A1641" s="89"/>
      <c r="B1641" s="90"/>
      <c r="C1641" s="72" t="s">
        <v>361</v>
      </c>
      <c r="D1641" s="102"/>
      <c r="E1641" s="71"/>
      <c r="F1641" s="73"/>
      <c r="G1641" s="73"/>
      <c r="H1641" s="73">
        <f t="shared" si="895"/>
        <v>0</v>
      </c>
      <c r="I1641" s="71"/>
      <c r="J1641" s="73">
        <v>513000</v>
      </c>
      <c r="K1641" s="74"/>
      <c r="L1641" s="74">
        <f t="shared" si="896"/>
        <v>513000</v>
      </c>
      <c r="M1641" s="92">
        <v>-513000</v>
      </c>
      <c r="N1641" s="74">
        <f t="shared" ref="N1641:N1654" si="897">+M1641+L1641</f>
        <v>0</v>
      </c>
      <c r="O1641" s="74"/>
      <c r="P1641" s="67">
        <v>513000</v>
      </c>
      <c r="Q1641" s="226" t="s">
        <v>662</v>
      </c>
      <c r="R1641" s="173"/>
      <c r="S1641" s="49"/>
    </row>
    <row r="1642" spans="1:20" ht="13.5" customHeight="1" x14ac:dyDescent="0.2">
      <c r="A1642" s="89"/>
      <c r="B1642" s="90"/>
      <c r="C1642" s="72" t="s">
        <v>513</v>
      </c>
      <c r="D1642" s="102"/>
      <c r="E1642" s="71"/>
      <c r="F1642" s="73"/>
      <c r="G1642" s="73"/>
      <c r="H1642" s="73">
        <f t="shared" si="895"/>
        <v>0</v>
      </c>
      <c r="I1642" s="71"/>
      <c r="J1642" s="73">
        <v>94616</v>
      </c>
      <c r="K1642" s="74"/>
      <c r="L1642" s="74">
        <f t="shared" si="896"/>
        <v>94616</v>
      </c>
      <c r="M1642" s="74"/>
      <c r="N1642" s="74">
        <f t="shared" si="897"/>
        <v>94616</v>
      </c>
      <c r="O1642" s="74"/>
      <c r="P1642" s="67"/>
      <c r="S1642" s="49"/>
    </row>
    <row r="1643" spans="1:20" ht="14.25" customHeight="1" x14ac:dyDescent="0.2">
      <c r="A1643" s="89"/>
      <c r="B1643" s="90"/>
      <c r="C1643" s="72" t="s">
        <v>514</v>
      </c>
      <c r="D1643" s="102"/>
      <c r="E1643" s="71"/>
      <c r="F1643" s="73"/>
      <c r="G1643" s="73"/>
      <c r="H1643" s="73">
        <f t="shared" si="895"/>
        <v>0</v>
      </c>
      <c r="I1643" s="71"/>
      <c r="J1643" s="73">
        <v>19363</v>
      </c>
      <c r="K1643" s="74"/>
      <c r="L1643" s="74">
        <f t="shared" si="896"/>
        <v>19363</v>
      </c>
      <c r="M1643" s="74"/>
      <c r="N1643" s="74">
        <f t="shared" si="897"/>
        <v>19363</v>
      </c>
      <c r="O1643" s="74"/>
      <c r="P1643" s="67"/>
      <c r="S1643" s="49"/>
    </row>
    <row r="1644" spans="1:20" ht="12.75" customHeight="1" x14ac:dyDescent="0.2">
      <c r="A1644" s="89"/>
      <c r="B1644" s="90"/>
      <c r="C1644" s="72" t="s">
        <v>515</v>
      </c>
      <c r="D1644" s="102"/>
      <c r="E1644" s="71"/>
      <c r="F1644" s="73"/>
      <c r="G1644" s="73"/>
      <c r="H1644" s="73">
        <f t="shared" si="895"/>
        <v>0</v>
      </c>
      <c r="I1644" s="71"/>
      <c r="J1644" s="73">
        <v>411000</v>
      </c>
      <c r="K1644" s="74">
        <v>-411000</v>
      </c>
      <c r="L1644" s="74">
        <f t="shared" si="896"/>
        <v>0</v>
      </c>
      <c r="M1644" s="74"/>
      <c r="N1644" s="74">
        <f t="shared" si="897"/>
        <v>0</v>
      </c>
      <c r="O1644" s="74"/>
      <c r="P1644" s="67">
        <v>651677</v>
      </c>
      <c r="Q1644" s="254">
        <v>651677</v>
      </c>
      <c r="R1644" s="289"/>
      <c r="S1644" s="254" t="s">
        <v>655</v>
      </c>
      <c r="T1644" s="56">
        <v>2023</v>
      </c>
    </row>
    <row r="1645" spans="1:20" ht="13.5" hidden="1" customHeight="1" x14ac:dyDescent="0.2">
      <c r="A1645" s="89"/>
      <c r="B1645" s="90"/>
      <c r="C1645" s="72" t="s">
        <v>601</v>
      </c>
      <c r="D1645" s="102"/>
      <c r="E1645" s="71"/>
      <c r="F1645" s="73"/>
      <c r="G1645" s="73"/>
      <c r="H1645" s="73">
        <f t="shared" si="895"/>
        <v>0</v>
      </c>
      <c r="I1645" s="71">
        <v>37415</v>
      </c>
      <c r="J1645" s="73"/>
      <c r="K1645" s="74"/>
      <c r="L1645" s="74">
        <f t="shared" si="896"/>
        <v>0</v>
      </c>
      <c r="M1645" s="74"/>
      <c r="N1645" s="74">
        <f t="shared" si="897"/>
        <v>0</v>
      </c>
      <c r="O1645" s="74"/>
      <c r="P1645" s="67">
        <f>+N1645+M1645</f>
        <v>0</v>
      </c>
      <c r="S1645" s="49"/>
    </row>
    <row r="1646" spans="1:20" ht="13.5" hidden="1" customHeight="1" x14ac:dyDescent="0.2">
      <c r="A1646" s="89"/>
      <c r="B1646" s="90"/>
      <c r="C1646" s="72" t="s">
        <v>516</v>
      </c>
      <c r="D1646" s="102"/>
      <c r="E1646" s="71"/>
      <c r="F1646" s="73"/>
      <c r="G1646" s="73"/>
      <c r="H1646" s="73">
        <f t="shared" si="895"/>
        <v>0</v>
      </c>
      <c r="I1646" s="71"/>
      <c r="J1646" s="73">
        <v>210000</v>
      </c>
      <c r="K1646" s="74">
        <v>-210000</v>
      </c>
      <c r="L1646" s="74">
        <f t="shared" si="896"/>
        <v>0</v>
      </c>
      <c r="M1646" s="74"/>
      <c r="N1646" s="74">
        <f t="shared" si="897"/>
        <v>0</v>
      </c>
      <c r="O1646" s="74"/>
      <c r="P1646" s="67">
        <f>+N1646+M1646</f>
        <v>0</v>
      </c>
      <c r="S1646" s="49"/>
    </row>
    <row r="1647" spans="1:20" ht="14.1" customHeight="1" x14ac:dyDescent="0.2">
      <c r="A1647" s="89"/>
      <c r="B1647" s="90"/>
      <c r="C1647" s="72" t="s">
        <v>540</v>
      </c>
      <c r="D1647" s="102"/>
      <c r="E1647" s="71"/>
      <c r="F1647" s="73"/>
      <c r="G1647" s="73"/>
      <c r="H1647" s="73"/>
      <c r="I1647" s="71"/>
      <c r="J1647" s="73"/>
      <c r="K1647" s="73"/>
      <c r="L1647" s="74">
        <f t="shared" si="896"/>
        <v>0</v>
      </c>
      <c r="M1647" s="73"/>
      <c r="N1647" s="74">
        <f t="shared" si="897"/>
        <v>0</v>
      </c>
      <c r="O1647" s="74"/>
      <c r="P1647" s="67">
        <v>270300</v>
      </c>
      <c r="Q1647" s="254">
        <v>398984</v>
      </c>
      <c r="R1647" s="289"/>
      <c r="S1647" s="254" t="s">
        <v>655</v>
      </c>
      <c r="T1647" s="56">
        <v>2023</v>
      </c>
    </row>
    <row r="1648" spans="1:20" ht="12.75" x14ac:dyDescent="0.2">
      <c r="A1648" s="89"/>
      <c r="B1648" s="90"/>
      <c r="C1648" s="72" t="s">
        <v>656</v>
      </c>
      <c r="D1648" s="102"/>
      <c r="E1648" s="71"/>
      <c r="F1648" s="73"/>
      <c r="G1648" s="73"/>
      <c r="H1648" s="73"/>
      <c r="I1648" s="71"/>
      <c r="J1648" s="73"/>
      <c r="K1648" s="73"/>
      <c r="L1648" s="74">
        <f t="shared" si="896"/>
        <v>0</v>
      </c>
      <c r="M1648" s="73"/>
      <c r="N1648" s="74">
        <f t="shared" si="897"/>
        <v>0</v>
      </c>
      <c r="O1648" s="74"/>
      <c r="P1648" s="67">
        <f>+N1648+M1648</f>
        <v>0</v>
      </c>
      <c r="Q1648" s="254">
        <v>132797</v>
      </c>
      <c r="R1648" s="289"/>
      <c r="S1648" s="254" t="s">
        <v>655</v>
      </c>
      <c r="T1648" s="56">
        <v>2023</v>
      </c>
    </row>
    <row r="1649" spans="1:19" ht="25.5" x14ac:dyDescent="0.2">
      <c r="A1649" s="89"/>
      <c r="B1649" s="90"/>
      <c r="C1649" s="72" t="s">
        <v>715</v>
      </c>
      <c r="D1649" s="102"/>
      <c r="E1649" s="71"/>
      <c r="F1649" s="73"/>
      <c r="G1649" s="73"/>
      <c r="H1649" s="73"/>
      <c r="I1649" s="71"/>
      <c r="J1649" s="73"/>
      <c r="K1649" s="73"/>
      <c r="L1649" s="74">
        <f t="shared" si="896"/>
        <v>0</v>
      </c>
      <c r="M1649" s="205">
        <v>80000</v>
      </c>
      <c r="N1649" s="74">
        <f t="shared" si="897"/>
        <v>80000</v>
      </c>
      <c r="O1649" s="74"/>
      <c r="P1649" s="67">
        <v>31210</v>
      </c>
      <c r="Q1649" s="49" t="s">
        <v>736</v>
      </c>
      <c r="R1649" s="173"/>
      <c r="S1649" s="49"/>
    </row>
    <row r="1650" spans="1:19" ht="25.5" x14ac:dyDescent="0.2">
      <c r="A1650" s="290" t="s">
        <v>716</v>
      </c>
      <c r="B1650" s="69"/>
      <c r="C1650" s="72" t="s">
        <v>717</v>
      </c>
      <c r="D1650" s="102"/>
      <c r="E1650" s="71"/>
      <c r="F1650" s="73"/>
      <c r="G1650" s="73"/>
      <c r="H1650" s="73"/>
      <c r="I1650" s="71"/>
      <c r="J1650" s="73"/>
      <c r="K1650" s="73"/>
      <c r="L1650" s="74">
        <f t="shared" si="896"/>
        <v>0</v>
      </c>
      <c r="M1650" s="205">
        <v>102000</v>
      </c>
      <c r="N1650" s="74">
        <f t="shared" si="897"/>
        <v>102000</v>
      </c>
      <c r="O1650" s="74"/>
      <c r="P1650" s="67">
        <v>102000</v>
      </c>
      <c r="Q1650" s="49" t="s">
        <v>736</v>
      </c>
      <c r="R1650" s="59" t="s">
        <v>1321</v>
      </c>
      <c r="S1650" s="49"/>
    </row>
    <row r="1651" spans="1:19" ht="12.75" x14ac:dyDescent="0.2">
      <c r="A1651" s="89"/>
      <c r="B1651" s="90"/>
      <c r="C1651" s="72" t="s">
        <v>1583</v>
      </c>
      <c r="D1651" s="102"/>
      <c r="E1651" s="71"/>
      <c r="F1651" s="73"/>
      <c r="G1651" s="73"/>
      <c r="H1651" s="73"/>
      <c r="I1651" s="71"/>
      <c r="J1651" s="73"/>
      <c r="K1651" s="73"/>
      <c r="L1651" s="74">
        <f t="shared" si="896"/>
        <v>0</v>
      </c>
      <c r="M1651" s="73"/>
      <c r="N1651" s="74">
        <f t="shared" si="897"/>
        <v>0</v>
      </c>
      <c r="O1651" s="74"/>
      <c r="P1651" s="67">
        <v>700000</v>
      </c>
    </row>
    <row r="1652" spans="1:19" ht="12.75" x14ac:dyDescent="0.2">
      <c r="A1652" s="89"/>
      <c r="B1652" s="90"/>
      <c r="C1652" s="72" t="s">
        <v>1322</v>
      </c>
      <c r="D1652" s="102"/>
      <c r="E1652" s="71"/>
      <c r="F1652" s="73"/>
      <c r="G1652" s="73"/>
      <c r="H1652" s="73"/>
      <c r="I1652" s="71"/>
      <c r="J1652" s="73"/>
      <c r="K1652" s="73"/>
      <c r="L1652" s="74">
        <f t="shared" si="896"/>
        <v>0</v>
      </c>
      <c r="M1652" s="73"/>
      <c r="N1652" s="74">
        <f t="shared" si="897"/>
        <v>0</v>
      </c>
      <c r="O1652" s="74"/>
      <c r="P1652" s="67">
        <v>150000</v>
      </c>
    </row>
    <row r="1653" spans="1:19" ht="13.5" customHeight="1" x14ac:dyDescent="0.2">
      <c r="A1653" s="89"/>
      <c r="B1653" s="90"/>
      <c r="C1653" s="72"/>
      <c r="D1653" s="102"/>
      <c r="E1653" s="71"/>
      <c r="F1653" s="73"/>
      <c r="G1653" s="73"/>
      <c r="H1653" s="73"/>
      <c r="I1653" s="71"/>
      <c r="J1653" s="73"/>
      <c r="K1653" s="73"/>
      <c r="L1653" s="74">
        <f t="shared" si="896"/>
        <v>0</v>
      </c>
      <c r="M1653" s="73"/>
      <c r="N1653" s="74">
        <f t="shared" si="897"/>
        <v>0</v>
      </c>
      <c r="O1653" s="74"/>
      <c r="P1653" s="67">
        <f>+N1653+M1653</f>
        <v>0</v>
      </c>
    </row>
    <row r="1654" spans="1:19" ht="12.75" hidden="1" x14ac:dyDescent="0.2">
      <c r="A1654" s="89"/>
      <c r="B1654" s="90"/>
      <c r="C1654" s="72"/>
      <c r="D1654" s="102"/>
      <c r="E1654" s="71"/>
      <c r="F1654" s="73"/>
      <c r="G1654" s="73"/>
      <c r="H1654" s="73"/>
      <c r="I1654" s="71"/>
      <c r="J1654" s="73"/>
      <c r="K1654" s="73"/>
      <c r="L1654" s="74">
        <f t="shared" si="896"/>
        <v>0</v>
      </c>
      <c r="M1654" s="73"/>
      <c r="N1654" s="74">
        <f t="shared" si="897"/>
        <v>0</v>
      </c>
      <c r="O1654" s="74"/>
      <c r="P1654" s="67">
        <f>+N1654+M1654</f>
        <v>0</v>
      </c>
    </row>
    <row r="1655" spans="1:19" ht="12.75" x14ac:dyDescent="0.2">
      <c r="A1655" s="146">
        <v>4502</v>
      </c>
      <c r="B1655" s="147"/>
      <c r="C1655" s="148" t="s">
        <v>517</v>
      </c>
      <c r="D1655" s="152">
        <f t="shared" ref="D1655:M1655" si="898">SUM(D1656:D1666)</f>
        <v>-737975</v>
      </c>
      <c r="E1655" s="152">
        <f t="shared" si="898"/>
        <v>6463</v>
      </c>
      <c r="F1655" s="152">
        <f t="shared" si="898"/>
        <v>-731512</v>
      </c>
      <c r="G1655" s="152">
        <f t="shared" si="898"/>
        <v>28000</v>
      </c>
      <c r="H1655" s="152">
        <f t="shared" si="898"/>
        <v>-703512</v>
      </c>
      <c r="I1655" s="152">
        <f t="shared" si="898"/>
        <v>-368767</v>
      </c>
      <c r="J1655" s="152">
        <f t="shared" si="898"/>
        <v>-854309</v>
      </c>
      <c r="K1655" s="152">
        <f t="shared" si="898"/>
        <v>662</v>
      </c>
      <c r="L1655" s="152">
        <f t="shared" si="898"/>
        <v>-853647</v>
      </c>
      <c r="M1655" s="152">
        <f t="shared" si="898"/>
        <v>67500</v>
      </c>
      <c r="N1655" s="152">
        <f>SUM(N1656:N1666)</f>
        <v>-786147</v>
      </c>
      <c r="O1655" s="152">
        <v>-443480</v>
      </c>
      <c r="P1655" s="152">
        <f>SUM(P1656:P1666)</f>
        <v>-1225833</v>
      </c>
      <c r="Q1655" s="210">
        <f>P1655/L1655</f>
        <v>1.4359952064495043</v>
      </c>
      <c r="R1655" s="203"/>
    </row>
    <row r="1656" spans="1:19" ht="14.1" customHeight="1" x14ac:dyDescent="0.2">
      <c r="A1656" s="94" t="s">
        <v>503</v>
      </c>
      <c r="B1656" s="95"/>
      <c r="C1656" s="72" t="s">
        <v>518</v>
      </c>
      <c r="D1656" s="102">
        <v>-303975</v>
      </c>
      <c r="E1656" s="71">
        <v>14599</v>
      </c>
      <c r="F1656" s="73">
        <f t="shared" ref="F1656:F1660" si="899">+E1656+D1656</f>
        <v>-289376</v>
      </c>
      <c r="G1656" s="73"/>
      <c r="H1656" s="73">
        <f>+G1656+F1656</f>
        <v>-289376</v>
      </c>
      <c r="I1656" s="71"/>
      <c r="J1656" s="73">
        <v>-506809</v>
      </c>
      <c r="K1656" s="74">
        <v>662</v>
      </c>
      <c r="L1656" s="74">
        <f>+K1656+J1656</f>
        <v>-506147</v>
      </c>
      <c r="M1656" s="74"/>
      <c r="N1656" s="74">
        <f t="shared" ref="N1656:N1666" si="900">+M1656+L1656</f>
        <v>-506147</v>
      </c>
      <c r="O1656" s="74"/>
      <c r="P1656" s="67">
        <f>-137900-146350-437583</f>
        <v>-721833</v>
      </c>
      <c r="Q1656" s="49" t="s">
        <v>740</v>
      </c>
    </row>
    <row r="1657" spans="1:19" ht="14.1" customHeight="1" x14ac:dyDescent="0.2">
      <c r="A1657" s="94" t="s">
        <v>501</v>
      </c>
      <c r="B1657" s="95"/>
      <c r="C1657" s="72" t="s">
        <v>519</v>
      </c>
      <c r="D1657" s="102">
        <v>-56000</v>
      </c>
      <c r="E1657" s="71"/>
      <c r="F1657" s="73">
        <f t="shared" si="899"/>
        <v>-56000</v>
      </c>
      <c r="G1657" s="73">
        <v>28000</v>
      </c>
      <c r="H1657" s="73">
        <f t="shared" ref="H1657:H1666" si="901">+G1657+F1657</f>
        <v>-28000</v>
      </c>
      <c r="I1657" s="71"/>
      <c r="J1657" s="73"/>
      <c r="K1657" s="74"/>
      <c r="L1657" s="74"/>
      <c r="M1657" s="74"/>
      <c r="N1657" s="74">
        <f t="shared" si="900"/>
        <v>0</v>
      </c>
      <c r="O1657" s="74"/>
      <c r="P1657" s="67">
        <f>+N1657+M1657</f>
        <v>0</v>
      </c>
    </row>
    <row r="1658" spans="1:19" ht="13.5" customHeight="1" x14ac:dyDescent="0.2">
      <c r="A1658" s="194" t="s">
        <v>502</v>
      </c>
      <c r="B1658" s="90"/>
      <c r="C1658" s="72" t="s">
        <v>508</v>
      </c>
      <c r="D1658" s="102">
        <v>-200000</v>
      </c>
      <c r="E1658" s="71"/>
      <c r="F1658" s="73">
        <f t="shared" si="899"/>
        <v>-200000</v>
      </c>
      <c r="G1658" s="73"/>
      <c r="H1658" s="73">
        <f t="shared" si="901"/>
        <v>-200000</v>
      </c>
      <c r="I1658" s="71">
        <v>-88666</v>
      </c>
      <c r="J1658" s="73">
        <v>-200000</v>
      </c>
      <c r="K1658" s="74"/>
      <c r="L1658" s="74">
        <v>-200000</v>
      </c>
      <c r="M1658" s="74"/>
      <c r="N1658" s="74">
        <f t="shared" si="900"/>
        <v>-200000</v>
      </c>
      <c r="O1658" s="74"/>
      <c r="P1658" s="67">
        <f>+N1658+M1658</f>
        <v>-200000</v>
      </c>
      <c r="Q1658" s="49" t="s">
        <v>740</v>
      </c>
    </row>
    <row r="1659" spans="1:19" ht="13.5" hidden="1" customHeight="1" x14ac:dyDescent="0.2">
      <c r="A1659" s="194" t="s">
        <v>520</v>
      </c>
      <c r="B1659" s="90"/>
      <c r="C1659" s="72" t="s">
        <v>521</v>
      </c>
      <c r="D1659" s="102">
        <v>0</v>
      </c>
      <c r="E1659" s="71"/>
      <c r="F1659" s="73">
        <f t="shared" si="899"/>
        <v>0</v>
      </c>
      <c r="G1659" s="73"/>
      <c r="H1659" s="73">
        <f t="shared" si="901"/>
        <v>0</v>
      </c>
      <c r="I1659" s="71"/>
      <c r="J1659" s="73"/>
      <c r="K1659" s="74"/>
      <c r="L1659" s="74"/>
      <c r="M1659" s="74"/>
      <c r="N1659" s="74">
        <f t="shared" si="900"/>
        <v>0</v>
      </c>
      <c r="O1659" s="74"/>
      <c r="P1659" s="67">
        <f>+N1659+M1659</f>
        <v>0</v>
      </c>
    </row>
    <row r="1660" spans="1:19" ht="14.1" customHeight="1" x14ac:dyDescent="0.2">
      <c r="A1660" s="194" t="s">
        <v>502</v>
      </c>
      <c r="B1660" s="90"/>
      <c r="C1660" s="72" t="s">
        <v>1343</v>
      </c>
      <c r="D1660" s="102">
        <v>-178000</v>
      </c>
      <c r="E1660" s="71">
        <v>-8136</v>
      </c>
      <c r="F1660" s="73">
        <f t="shared" si="899"/>
        <v>-186136</v>
      </c>
      <c r="G1660" s="73"/>
      <c r="H1660" s="73">
        <f t="shared" si="901"/>
        <v>-186136</v>
      </c>
      <c r="I1660" s="71">
        <v>-280101</v>
      </c>
      <c r="J1660" s="73">
        <v>-80000</v>
      </c>
      <c r="K1660" s="74"/>
      <c r="L1660" s="74">
        <v>-80000</v>
      </c>
      <c r="M1660" s="74"/>
      <c r="N1660" s="74">
        <f t="shared" si="900"/>
        <v>-80000</v>
      </c>
      <c r="O1660" s="74"/>
      <c r="P1660" s="67">
        <v>-100000</v>
      </c>
      <c r="Q1660" s="49" t="s">
        <v>739</v>
      </c>
    </row>
    <row r="1661" spans="1:19" ht="14.1" customHeight="1" x14ac:dyDescent="0.2">
      <c r="A1661" s="194"/>
      <c r="B1661" s="90"/>
      <c r="C1661" s="72" t="s">
        <v>1344</v>
      </c>
      <c r="D1661" s="102"/>
      <c r="E1661" s="71"/>
      <c r="F1661" s="73"/>
      <c r="G1661" s="73"/>
      <c r="H1661" s="73">
        <f t="shared" si="901"/>
        <v>0</v>
      </c>
      <c r="I1661" s="71"/>
      <c r="J1661" s="73">
        <v>-67500</v>
      </c>
      <c r="K1661" s="74"/>
      <c r="L1661" s="74">
        <v>-67500</v>
      </c>
      <c r="M1661" s="92">
        <v>67500</v>
      </c>
      <c r="N1661" s="74">
        <f t="shared" si="900"/>
        <v>0</v>
      </c>
      <c r="O1661" s="74"/>
      <c r="P1661" s="67">
        <v>-204000</v>
      </c>
      <c r="Q1661" s="49" t="s">
        <v>732</v>
      </c>
    </row>
    <row r="1662" spans="1:19" ht="14.1" hidden="1" customHeight="1" x14ac:dyDescent="0.2">
      <c r="A1662" s="194"/>
      <c r="B1662" s="90"/>
      <c r="C1662" s="72"/>
      <c r="D1662" s="102"/>
      <c r="E1662" s="71"/>
      <c r="F1662" s="73"/>
      <c r="G1662" s="73"/>
      <c r="H1662" s="73"/>
      <c r="I1662" s="71"/>
      <c r="J1662" s="73"/>
      <c r="K1662" s="74"/>
      <c r="L1662" s="74"/>
      <c r="M1662" s="74"/>
      <c r="N1662" s="74">
        <f t="shared" si="900"/>
        <v>0</v>
      </c>
      <c r="O1662" s="74"/>
      <c r="P1662" s="67">
        <f>+N1662+M1662</f>
        <v>0</v>
      </c>
    </row>
    <row r="1663" spans="1:19" ht="14.1" hidden="1" customHeight="1" x14ac:dyDescent="0.2">
      <c r="A1663" s="194"/>
      <c r="B1663" s="90"/>
      <c r="C1663" s="72"/>
      <c r="D1663" s="102"/>
      <c r="E1663" s="71"/>
      <c r="F1663" s="73"/>
      <c r="G1663" s="73"/>
      <c r="H1663" s="73"/>
      <c r="I1663" s="71"/>
      <c r="J1663" s="73"/>
      <c r="K1663" s="74"/>
      <c r="L1663" s="74"/>
      <c r="M1663" s="74"/>
      <c r="N1663" s="74">
        <f t="shared" si="900"/>
        <v>0</v>
      </c>
      <c r="O1663" s="74"/>
      <c r="P1663" s="67">
        <f>+N1663+M1663</f>
        <v>0</v>
      </c>
    </row>
    <row r="1664" spans="1:19" ht="14.1" hidden="1" customHeight="1" x14ac:dyDescent="0.2">
      <c r="A1664" s="194"/>
      <c r="B1664" s="90"/>
      <c r="C1664" s="72"/>
      <c r="D1664" s="102"/>
      <c r="E1664" s="71"/>
      <c r="F1664" s="73"/>
      <c r="G1664" s="73"/>
      <c r="H1664" s="73"/>
      <c r="I1664" s="71"/>
      <c r="J1664" s="73"/>
      <c r="K1664" s="74"/>
      <c r="L1664" s="74"/>
      <c r="M1664" s="74"/>
      <c r="N1664" s="74">
        <f t="shared" si="900"/>
        <v>0</v>
      </c>
      <c r="O1664" s="74"/>
      <c r="P1664" s="67">
        <f>+N1664+M1664</f>
        <v>0</v>
      </c>
    </row>
    <row r="1665" spans="1:19" ht="14.1" hidden="1" customHeight="1" x14ac:dyDescent="0.2">
      <c r="A1665" s="194"/>
      <c r="B1665" s="90"/>
      <c r="C1665" s="72"/>
      <c r="D1665" s="102"/>
      <c r="E1665" s="71"/>
      <c r="F1665" s="73"/>
      <c r="G1665" s="73"/>
      <c r="H1665" s="73">
        <f t="shared" si="901"/>
        <v>0</v>
      </c>
      <c r="I1665" s="71"/>
      <c r="J1665" s="73"/>
      <c r="K1665" s="74"/>
      <c r="L1665" s="74"/>
      <c r="M1665" s="74"/>
      <c r="N1665" s="74">
        <f t="shared" si="900"/>
        <v>0</v>
      </c>
      <c r="O1665" s="74"/>
      <c r="P1665" s="67">
        <f>+N1665+M1665</f>
        <v>0</v>
      </c>
    </row>
    <row r="1666" spans="1:19" ht="14.1" hidden="1" customHeight="1" x14ac:dyDescent="0.2">
      <c r="A1666" s="194"/>
      <c r="B1666" s="90"/>
      <c r="C1666" s="72"/>
      <c r="D1666" s="102"/>
      <c r="E1666" s="71"/>
      <c r="F1666" s="73"/>
      <c r="G1666" s="73"/>
      <c r="H1666" s="73">
        <f t="shared" si="901"/>
        <v>0</v>
      </c>
      <c r="I1666" s="71"/>
      <c r="J1666" s="73"/>
      <c r="K1666" s="74"/>
      <c r="L1666" s="74"/>
      <c r="M1666" s="74"/>
      <c r="N1666" s="74">
        <f t="shared" si="900"/>
        <v>0</v>
      </c>
      <c r="O1666" s="74"/>
      <c r="P1666" s="67">
        <f>+N1666+M1666</f>
        <v>0</v>
      </c>
    </row>
    <row r="1667" spans="1:19" ht="14.1" customHeight="1" x14ac:dyDescent="0.2">
      <c r="A1667" s="146">
        <v>381</v>
      </c>
      <c r="B1667" s="147"/>
      <c r="C1667" s="148" t="s">
        <v>522</v>
      </c>
      <c r="D1667" s="149">
        <v>200000</v>
      </c>
      <c r="E1667" s="150">
        <v>0</v>
      </c>
      <c r="F1667" s="152">
        <f>+E1667+D1667</f>
        <v>200000</v>
      </c>
      <c r="G1667" s="152">
        <v>0</v>
      </c>
      <c r="H1667" s="152">
        <f>+H1668</f>
        <v>200000</v>
      </c>
      <c r="I1667" s="151">
        <f>+I1668</f>
        <v>244031</v>
      </c>
      <c r="J1667" s="152">
        <f>+J1668</f>
        <v>100000</v>
      </c>
      <c r="K1667" s="137">
        <f>+K1668</f>
        <v>100000</v>
      </c>
      <c r="L1667" s="137">
        <f>+L1668</f>
        <v>200000</v>
      </c>
      <c r="M1667" s="137">
        <f t="shared" ref="M1667:P1667" si="902">+M1668</f>
        <v>0</v>
      </c>
      <c r="N1667" s="137">
        <f t="shared" si="902"/>
        <v>200000</v>
      </c>
      <c r="O1667" s="137">
        <f t="shared" si="902"/>
        <v>132354</v>
      </c>
      <c r="P1667" s="137">
        <f t="shared" si="902"/>
        <v>400000</v>
      </c>
    </row>
    <row r="1668" spans="1:19" ht="14.1" customHeight="1" x14ac:dyDescent="0.2">
      <c r="A1668" s="194"/>
      <c r="B1668" s="90"/>
      <c r="C1668" s="72" t="s">
        <v>522</v>
      </c>
      <c r="D1668" s="43">
        <v>100000</v>
      </c>
      <c r="E1668" s="71">
        <v>0</v>
      </c>
      <c r="F1668" s="172">
        <v>200000</v>
      </c>
      <c r="G1668" s="172"/>
      <c r="H1668" s="172">
        <v>200000</v>
      </c>
      <c r="I1668" s="71">
        <v>244031</v>
      </c>
      <c r="J1668" s="73">
        <v>100000</v>
      </c>
      <c r="K1668" s="74">
        <v>100000</v>
      </c>
      <c r="L1668" s="74">
        <f>+K1668+J1668</f>
        <v>200000</v>
      </c>
      <c r="M1668" s="74"/>
      <c r="N1668" s="74">
        <f t="shared" ref="N1668" si="903">+M1668+L1668</f>
        <v>200000</v>
      </c>
      <c r="O1668" s="74">
        <v>132354</v>
      </c>
      <c r="P1668" s="67">
        <v>400000</v>
      </c>
      <c r="Q1668" s="210">
        <f>P1668/L1668</f>
        <v>2</v>
      </c>
      <c r="R1668" s="203" t="s">
        <v>1346</v>
      </c>
    </row>
    <row r="1669" spans="1:19" ht="14.1" customHeight="1" x14ac:dyDescent="0.2">
      <c r="A1669" s="146"/>
      <c r="B1669" s="147"/>
      <c r="C1669" s="148" t="s">
        <v>523</v>
      </c>
      <c r="D1669" s="149">
        <v>-6742000</v>
      </c>
      <c r="E1669" s="151">
        <f>SUM(E1670:E1721)</f>
        <v>764300</v>
      </c>
      <c r="F1669" s="152">
        <f t="shared" ref="F1669:F1680" si="904">+E1669+D1669</f>
        <v>-5977700</v>
      </c>
      <c r="G1669" s="152">
        <f>SUM(G1670:G1744)</f>
        <v>893235</v>
      </c>
      <c r="H1669" s="152">
        <f>SUM(H1670:H1744)</f>
        <v>-5084465</v>
      </c>
      <c r="I1669" s="151">
        <f>SUM(I1670:I1721)</f>
        <v>-1478844</v>
      </c>
      <c r="J1669" s="152">
        <f>SUM(J1670:J1744)</f>
        <v>-9858100</v>
      </c>
      <c r="K1669" s="137">
        <f>SUM(K1670:K1744)</f>
        <v>1212030</v>
      </c>
      <c r="L1669" s="137">
        <f>SUM(L1670:L1744)</f>
        <v>-8646070</v>
      </c>
      <c r="M1669" s="137">
        <f>SUM(M1670:M1744)</f>
        <v>3287102</v>
      </c>
      <c r="N1669" s="137">
        <f>SUM(N1670:N1744)</f>
        <v>-5358968</v>
      </c>
      <c r="O1669" s="137">
        <v>-4759486</v>
      </c>
      <c r="P1669" s="137">
        <f>SUM(P1670:P1744)</f>
        <v>-9614633</v>
      </c>
      <c r="Q1669" s="173">
        <v>9461584</v>
      </c>
      <c r="R1669" s="173" t="s">
        <v>1327</v>
      </c>
      <c r="S1669" s="226" t="s">
        <v>1549</v>
      </c>
    </row>
    <row r="1670" spans="1:19" ht="14.1" customHeight="1" x14ac:dyDescent="0.2">
      <c r="A1670" s="94" t="s">
        <v>612</v>
      </c>
      <c r="B1670" s="95"/>
      <c r="C1670" s="72" t="s">
        <v>524</v>
      </c>
      <c r="D1670" s="102">
        <v>0</v>
      </c>
      <c r="E1670" s="71"/>
      <c r="F1670" s="73">
        <f t="shared" si="904"/>
        <v>0</v>
      </c>
      <c r="G1670" s="73"/>
      <c r="H1670" s="73">
        <f>+G1670+F1670</f>
        <v>0</v>
      </c>
      <c r="I1670" s="71"/>
      <c r="J1670" s="73">
        <v>-20000</v>
      </c>
      <c r="K1670" s="74"/>
      <c r="L1670" s="74">
        <v>-20000</v>
      </c>
      <c r="M1670" s="74"/>
      <c r="N1670" s="74">
        <f t="shared" ref="N1670:N1734" si="905">+M1670+L1670</f>
        <v>-20000</v>
      </c>
      <c r="O1670" s="74"/>
      <c r="P1670" s="67">
        <v>0</v>
      </c>
    </row>
    <row r="1671" spans="1:19" ht="14.1" customHeight="1" x14ac:dyDescent="0.2">
      <c r="A1671" s="89" t="s">
        <v>525</v>
      </c>
      <c r="B1671" s="90"/>
      <c r="C1671" s="72" t="s">
        <v>1337</v>
      </c>
      <c r="D1671" s="102">
        <v>0</v>
      </c>
      <c r="E1671" s="71"/>
      <c r="F1671" s="73">
        <f t="shared" si="904"/>
        <v>0</v>
      </c>
      <c r="G1671" s="73"/>
      <c r="H1671" s="73">
        <f t="shared" ref="H1671:H1731" si="906">+G1671+F1671</f>
        <v>0</v>
      </c>
      <c r="I1671" s="71"/>
      <c r="J1671" s="73">
        <v>-1200000</v>
      </c>
      <c r="K1671" s="74">
        <v>1100000</v>
      </c>
      <c r="L1671" s="74">
        <f>+K1671+J1671</f>
        <v>-100000</v>
      </c>
      <c r="M1671" s="92">
        <v>100000</v>
      </c>
      <c r="N1671" s="74">
        <f t="shared" si="905"/>
        <v>0</v>
      </c>
      <c r="O1671" s="74"/>
      <c r="P1671" s="67">
        <v>-1236840</v>
      </c>
      <c r="Q1671" s="254">
        <v>-1236840</v>
      </c>
      <c r="R1671" s="289"/>
      <c r="S1671" s="254" t="s">
        <v>737</v>
      </c>
    </row>
    <row r="1672" spans="1:19" ht="14.1" customHeight="1" x14ac:dyDescent="0.2">
      <c r="A1672" s="194" t="s">
        <v>526</v>
      </c>
      <c r="B1672" s="90"/>
      <c r="C1672" s="72" t="s">
        <v>527</v>
      </c>
      <c r="D1672" s="102">
        <v>-250000</v>
      </c>
      <c r="E1672" s="71"/>
      <c r="F1672" s="73">
        <f t="shared" si="904"/>
        <v>-250000</v>
      </c>
      <c r="G1672" s="73">
        <v>72000</v>
      </c>
      <c r="H1672" s="73">
        <f t="shared" si="906"/>
        <v>-178000</v>
      </c>
      <c r="I1672" s="71">
        <v>-37683</v>
      </c>
      <c r="J1672" s="73">
        <v>-250000</v>
      </c>
      <c r="K1672" s="74"/>
      <c r="L1672" s="74">
        <f t="shared" ref="L1672:L1731" si="907">+K1672+J1672</f>
        <v>-250000</v>
      </c>
      <c r="M1672" s="74"/>
      <c r="N1672" s="74">
        <f t="shared" si="905"/>
        <v>-250000</v>
      </c>
      <c r="O1672" s="74"/>
      <c r="P1672" s="67">
        <v>-500000</v>
      </c>
      <c r="Q1672" s="49" t="s">
        <v>1327</v>
      </c>
      <c r="R1672" s="59" t="s">
        <v>1332</v>
      </c>
    </row>
    <row r="1673" spans="1:19" ht="14.1" customHeight="1" x14ac:dyDescent="0.2">
      <c r="A1673" s="291" t="s">
        <v>528</v>
      </c>
      <c r="B1673" s="90"/>
      <c r="C1673" s="72" t="s">
        <v>529</v>
      </c>
      <c r="D1673" s="102">
        <v>-30000</v>
      </c>
      <c r="E1673" s="71"/>
      <c r="F1673" s="73">
        <f t="shared" si="904"/>
        <v>-30000</v>
      </c>
      <c r="G1673" s="73"/>
      <c r="H1673" s="73">
        <f t="shared" si="906"/>
        <v>-30000</v>
      </c>
      <c r="I1673" s="71"/>
      <c r="J1673" s="73">
        <v>-30000</v>
      </c>
      <c r="K1673" s="74"/>
      <c r="L1673" s="74">
        <f t="shared" si="907"/>
        <v>-30000</v>
      </c>
      <c r="M1673" s="74"/>
      <c r="N1673" s="74">
        <f t="shared" si="905"/>
        <v>-30000</v>
      </c>
      <c r="O1673" s="74"/>
      <c r="P1673" s="67">
        <v>-60000</v>
      </c>
    </row>
    <row r="1674" spans="1:19" ht="0.6" customHeight="1" x14ac:dyDescent="0.2">
      <c r="A1674" s="194" t="s">
        <v>526</v>
      </c>
      <c r="B1674" s="90"/>
      <c r="C1674" s="72" t="s">
        <v>530</v>
      </c>
      <c r="D1674" s="102">
        <v>0</v>
      </c>
      <c r="E1674" s="71"/>
      <c r="F1674" s="73">
        <f t="shared" si="904"/>
        <v>0</v>
      </c>
      <c r="G1674" s="73"/>
      <c r="H1674" s="73">
        <f t="shared" si="906"/>
        <v>0</v>
      </c>
      <c r="I1674" s="71"/>
      <c r="J1674" s="73"/>
      <c r="K1674" s="74"/>
      <c r="L1674" s="74">
        <f t="shared" si="907"/>
        <v>0</v>
      </c>
      <c r="M1674" s="74"/>
      <c r="N1674" s="74">
        <f t="shared" si="905"/>
        <v>0</v>
      </c>
      <c r="O1674" s="74"/>
      <c r="P1674" s="67">
        <f>+N1674+M1674</f>
        <v>0</v>
      </c>
    </row>
    <row r="1675" spans="1:19" ht="14.1" customHeight="1" x14ac:dyDescent="0.2">
      <c r="A1675" s="194" t="s">
        <v>526</v>
      </c>
      <c r="B1675" s="90"/>
      <c r="C1675" s="72" t="s">
        <v>531</v>
      </c>
      <c r="D1675" s="102">
        <v>-200000</v>
      </c>
      <c r="E1675" s="71"/>
      <c r="F1675" s="73">
        <f t="shared" si="904"/>
        <v>-200000</v>
      </c>
      <c r="G1675" s="73">
        <v>200000</v>
      </c>
      <c r="H1675" s="73">
        <f t="shared" si="906"/>
        <v>0</v>
      </c>
      <c r="I1675" s="71">
        <v>-47862</v>
      </c>
      <c r="J1675" s="73">
        <v>-100000</v>
      </c>
      <c r="K1675" s="74">
        <v>30000</v>
      </c>
      <c r="L1675" s="74">
        <f t="shared" si="907"/>
        <v>-70000</v>
      </c>
      <c r="M1675" s="92">
        <v>-7000</v>
      </c>
      <c r="N1675" s="74">
        <f t="shared" si="905"/>
        <v>-77000</v>
      </c>
      <c r="O1675" s="74"/>
      <c r="P1675" s="67">
        <v>-100000</v>
      </c>
      <c r="Q1675" s="49" t="s">
        <v>1328</v>
      </c>
    </row>
    <row r="1676" spans="1:19" ht="14.1" hidden="1" customHeight="1" x14ac:dyDescent="0.2">
      <c r="A1676" s="194" t="s">
        <v>526</v>
      </c>
      <c r="B1676" s="90"/>
      <c r="C1676" s="72" t="s">
        <v>532</v>
      </c>
      <c r="D1676" s="102">
        <v>-30000</v>
      </c>
      <c r="E1676" s="71"/>
      <c r="F1676" s="73">
        <f t="shared" si="904"/>
        <v>-30000</v>
      </c>
      <c r="G1676" s="73"/>
      <c r="H1676" s="73">
        <f t="shared" si="906"/>
        <v>-30000</v>
      </c>
      <c r="I1676" s="71">
        <v>-10168</v>
      </c>
      <c r="J1676" s="73"/>
      <c r="K1676" s="74"/>
      <c r="L1676" s="74">
        <f t="shared" si="907"/>
        <v>0</v>
      </c>
      <c r="M1676" s="74"/>
      <c r="N1676" s="74">
        <f t="shared" si="905"/>
        <v>0</v>
      </c>
      <c r="O1676" s="74"/>
      <c r="P1676" s="67">
        <f>+N1676+M1676</f>
        <v>0</v>
      </c>
    </row>
    <row r="1677" spans="1:19" ht="12.95" customHeight="1" x14ac:dyDescent="0.2">
      <c r="A1677" s="194" t="s">
        <v>526</v>
      </c>
      <c r="B1677" s="90"/>
      <c r="C1677" s="72" t="s">
        <v>533</v>
      </c>
      <c r="D1677" s="102">
        <v>0</v>
      </c>
      <c r="E1677" s="71"/>
      <c r="F1677" s="73">
        <f t="shared" si="904"/>
        <v>0</v>
      </c>
      <c r="G1677" s="73"/>
      <c r="H1677" s="73">
        <f t="shared" si="906"/>
        <v>0</v>
      </c>
      <c r="I1677" s="71"/>
      <c r="J1677" s="73">
        <v>-50000</v>
      </c>
      <c r="K1677" s="74"/>
      <c r="L1677" s="74">
        <f t="shared" si="907"/>
        <v>-50000</v>
      </c>
      <c r="M1677" s="92">
        <v>-12000</v>
      </c>
      <c r="N1677" s="74">
        <f t="shared" si="905"/>
        <v>-62000</v>
      </c>
      <c r="O1677" s="74"/>
      <c r="P1677" s="67">
        <v>0</v>
      </c>
    </row>
    <row r="1678" spans="1:19" ht="14.1" hidden="1" customHeight="1" x14ac:dyDescent="0.2">
      <c r="A1678" s="194" t="s">
        <v>526</v>
      </c>
      <c r="B1678" s="90"/>
      <c r="C1678" s="72" t="s">
        <v>534</v>
      </c>
      <c r="D1678" s="102">
        <v>-150000</v>
      </c>
      <c r="E1678" s="71"/>
      <c r="F1678" s="73">
        <f t="shared" si="904"/>
        <v>-150000</v>
      </c>
      <c r="G1678" s="73"/>
      <c r="H1678" s="73">
        <f t="shared" si="906"/>
        <v>-150000</v>
      </c>
      <c r="I1678" s="71"/>
      <c r="J1678" s="73"/>
      <c r="K1678" s="74"/>
      <c r="L1678" s="74">
        <f t="shared" si="907"/>
        <v>0</v>
      </c>
      <c r="M1678" s="74"/>
      <c r="N1678" s="74">
        <f t="shared" si="905"/>
        <v>0</v>
      </c>
      <c r="O1678" s="74"/>
      <c r="P1678" s="67">
        <f>+N1678+M1678</f>
        <v>0</v>
      </c>
    </row>
    <row r="1679" spans="1:19" ht="14.1" customHeight="1" x14ac:dyDescent="0.2">
      <c r="A1679" s="194" t="s">
        <v>526</v>
      </c>
      <c r="B1679" s="90"/>
      <c r="C1679" s="72" t="s">
        <v>1338</v>
      </c>
      <c r="D1679" s="102">
        <v>-45000</v>
      </c>
      <c r="E1679" s="71">
        <v>-45000</v>
      </c>
      <c r="F1679" s="73">
        <f t="shared" si="904"/>
        <v>-90000</v>
      </c>
      <c r="G1679" s="73"/>
      <c r="H1679" s="73">
        <f t="shared" si="906"/>
        <v>-90000</v>
      </c>
      <c r="I1679" s="71"/>
      <c r="J1679" s="73">
        <v>-22500</v>
      </c>
      <c r="K1679" s="74"/>
      <c r="L1679" s="74">
        <f t="shared" si="907"/>
        <v>-22500</v>
      </c>
      <c r="M1679" s="74"/>
      <c r="N1679" s="74">
        <f t="shared" si="905"/>
        <v>-22500</v>
      </c>
      <c r="O1679" s="74"/>
      <c r="P1679" s="67">
        <v>-950000</v>
      </c>
      <c r="Q1679" s="49" t="s">
        <v>1331</v>
      </c>
    </row>
    <row r="1680" spans="1:19" ht="14.1" hidden="1" customHeight="1" x14ac:dyDescent="0.2">
      <c r="A1680" s="194" t="s">
        <v>526</v>
      </c>
      <c r="B1680" s="90"/>
      <c r="C1680" s="72" t="s">
        <v>535</v>
      </c>
      <c r="D1680" s="102">
        <v>-160000</v>
      </c>
      <c r="E1680" s="71"/>
      <c r="F1680" s="73">
        <f t="shared" si="904"/>
        <v>-160000</v>
      </c>
      <c r="G1680" s="73"/>
      <c r="H1680" s="73">
        <f t="shared" si="906"/>
        <v>-160000</v>
      </c>
      <c r="I1680" s="71"/>
      <c r="J1680" s="73"/>
      <c r="K1680" s="74"/>
      <c r="L1680" s="74">
        <f t="shared" si="907"/>
        <v>0</v>
      </c>
      <c r="M1680" s="74"/>
      <c r="N1680" s="74">
        <f t="shared" si="905"/>
        <v>0</v>
      </c>
      <c r="O1680" s="74"/>
      <c r="P1680" s="67">
        <f>+N1680+M1680</f>
        <v>0</v>
      </c>
    </row>
    <row r="1681" spans="1:21" ht="14.1" hidden="1" customHeight="1" x14ac:dyDescent="0.2">
      <c r="A1681" s="194" t="s">
        <v>526</v>
      </c>
      <c r="B1681" s="90"/>
      <c r="C1681" s="72" t="s">
        <v>536</v>
      </c>
      <c r="D1681" s="102">
        <v>-220000</v>
      </c>
      <c r="E1681" s="71">
        <v>-25000</v>
      </c>
      <c r="F1681" s="73">
        <f t="shared" ref="F1681:F1686" si="908">D1681+E1681</f>
        <v>-245000</v>
      </c>
      <c r="G1681" s="73"/>
      <c r="H1681" s="73">
        <f t="shared" si="906"/>
        <v>-245000</v>
      </c>
      <c r="I1681" s="71">
        <v>-170391</v>
      </c>
      <c r="J1681" s="73"/>
      <c r="K1681" s="74"/>
      <c r="L1681" s="74">
        <f t="shared" si="907"/>
        <v>0</v>
      </c>
      <c r="M1681" s="74"/>
      <c r="N1681" s="74">
        <f t="shared" si="905"/>
        <v>0</v>
      </c>
      <c r="O1681" s="74"/>
      <c r="P1681" s="67">
        <f>+N1681+M1681</f>
        <v>0</v>
      </c>
    </row>
    <row r="1682" spans="1:21" ht="14.1" customHeight="1" x14ac:dyDescent="0.2">
      <c r="A1682" s="194" t="s">
        <v>526</v>
      </c>
      <c r="B1682" s="90"/>
      <c r="C1682" s="72" t="s">
        <v>537</v>
      </c>
      <c r="D1682" s="102">
        <v>-90000</v>
      </c>
      <c r="E1682" s="71">
        <v>-140000</v>
      </c>
      <c r="F1682" s="73">
        <f t="shared" si="908"/>
        <v>-230000</v>
      </c>
      <c r="G1682" s="73"/>
      <c r="H1682" s="73">
        <f t="shared" si="906"/>
        <v>-230000</v>
      </c>
      <c r="I1682" s="71">
        <v>-130120</v>
      </c>
      <c r="J1682" s="73">
        <v>-176000</v>
      </c>
      <c r="K1682" s="74">
        <v>26000</v>
      </c>
      <c r="L1682" s="74">
        <f t="shared" si="907"/>
        <v>-150000</v>
      </c>
      <c r="M1682" s="74"/>
      <c r="N1682" s="74">
        <f t="shared" si="905"/>
        <v>-150000</v>
      </c>
      <c r="O1682" s="74"/>
      <c r="P1682" s="67"/>
    </row>
    <row r="1683" spans="1:21" ht="14.1" hidden="1" customHeight="1" x14ac:dyDescent="0.2">
      <c r="A1683" s="194" t="s">
        <v>526</v>
      </c>
      <c r="B1683" s="90"/>
      <c r="C1683" s="72" t="s">
        <v>538</v>
      </c>
      <c r="D1683" s="102">
        <v>0</v>
      </c>
      <c r="E1683" s="71"/>
      <c r="F1683" s="73">
        <f t="shared" si="908"/>
        <v>0</v>
      </c>
      <c r="G1683" s="73"/>
      <c r="H1683" s="73">
        <f t="shared" si="906"/>
        <v>0</v>
      </c>
      <c r="I1683" s="71"/>
      <c r="J1683" s="73"/>
      <c r="K1683" s="74"/>
      <c r="L1683" s="74">
        <f t="shared" si="907"/>
        <v>0</v>
      </c>
      <c r="M1683" s="74"/>
      <c r="N1683" s="74">
        <f t="shared" si="905"/>
        <v>0</v>
      </c>
      <c r="O1683" s="74"/>
      <c r="P1683" s="67">
        <f>+N1683+M1683</f>
        <v>0</v>
      </c>
    </row>
    <row r="1684" spans="1:21" ht="14.1" hidden="1" customHeight="1" x14ac:dyDescent="0.2">
      <c r="A1684" s="194" t="s">
        <v>526</v>
      </c>
      <c r="B1684" s="90"/>
      <c r="C1684" s="72" t="s">
        <v>539</v>
      </c>
      <c r="D1684" s="102">
        <v>0</v>
      </c>
      <c r="E1684" s="71"/>
      <c r="F1684" s="73">
        <f t="shared" si="908"/>
        <v>0</v>
      </c>
      <c r="G1684" s="73"/>
      <c r="H1684" s="73">
        <f t="shared" si="906"/>
        <v>0</v>
      </c>
      <c r="I1684" s="71"/>
      <c r="J1684" s="73"/>
      <c r="K1684" s="74"/>
      <c r="L1684" s="74">
        <f t="shared" si="907"/>
        <v>0</v>
      </c>
      <c r="M1684" s="74"/>
      <c r="N1684" s="74">
        <f t="shared" si="905"/>
        <v>0</v>
      </c>
      <c r="O1684" s="74"/>
      <c r="P1684" s="67">
        <f>+N1684+M1684</f>
        <v>0</v>
      </c>
    </row>
    <row r="1685" spans="1:21" ht="14.1" customHeight="1" x14ac:dyDescent="0.2">
      <c r="A1685" s="194" t="s">
        <v>526</v>
      </c>
      <c r="B1685" s="90"/>
      <c r="C1685" s="72" t="s">
        <v>512</v>
      </c>
      <c r="D1685" s="102">
        <v>0</v>
      </c>
      <c r="E1685" s="71"/>
      <c r="F1685" s="73">
        <f t="shared" si="908"/>
        <v>0</v>
      </c>
      <c r="G1685" s="73"/>
      <c r="H1685" s="73">
        <f t="shared" si="906"/>
        <v>0</v>
      </c>
      <c r="I1685" s="71"/>
      <c r="J1685" s="73">
        <v>-150000</v>
      </c>
      <c r="K1685" s="74"/>
      <c r="L1685" s="74">
        <f t="shared" si="907"/>
        <v>-150000</v>
      </c>
      <c r="M1685" s="92">
        <v>150000</v>
      </c>
      <c r="N1685" s="74">
        <f t="shared" si="905"/>
        <v>0</v>
      </c>
      <c r="O1685" s="74"/>
      <c r="P1685" s="67">
        <v>0</v>
      </c>
      <c r="Q1685" s="49" t="s">
        <v>1342</v>
      </c>
    </row>
    <row r="1686" spans="1:21" ht="25.5" x14ac:dyDescent="0.2">
      <c r="A1686" s="194" t="s">
        <v>526</v>
      </c>
      <c r="B1686" s="90"/>
      <c r="C1686" s="72" t="s">
        <v>540</v>
      </c>
      <c r="D1686" s="102">
        <v>-300000</v>
      </c>
      <c r="E1686" s="71">
        <v>200000</v>
      </c>
      <c r="F1686" s="73">
        <f t="shared" si="908"/>
        <v>-100000</v>
      </c>
      <c r="G1686" s="73"/>
      <c r="H1686" s="73">
        <f t="shared" si="906"/>
        <v>-100000</v>
      </c>
      <c r="I1686" s="71"/>
      <c r="J1686" s="73">
        <v>-300000</v>
      </c>
      <c r="K1686" s="74"/>
      <c r="L1686" s="74">
        <f t="shared" si="907"/>
        <v>-300000</v>
      </c>
      <c r="M1686" s="92">
        <v>300000</v>
      </c>
      <c r="N1686" s="74">
        <f t="shared" si="905"/>
        <v>0</v>
      </c>
      <c r="O1686" s="74"/>
      <c r="P1686" s="67">
        <v>-510000</v>
      </c>
      <c r="Q1686" s="254">
        <v>-752800</v>
      </c>
      <c r="R1686" s="289"/>
      <c r="S1686" s="254" t="s">
        <v>655</v>
      </c>
      <c r="U1686" s="108" t="s">
        <v>1330</v>
      </c>
    </row>
    <row r="1687" spans="1:21" ht="12.75" x14ac:dyDescent="0.2">
      <c r="A1687" s="194"/>
      <c r="B1687" s="90"/>
      <c r="C1687" s="72" t="s">
        <v>1323</v>
      </c>
      <c r="D1687" s="102"/>
      <c r="E1687" s="71"/>
      <c r="F1687" s="73"/>
      <c r="G1687" s="73"/>
      <c r="H1687" s="73">
        <f t="shared" si="906"/>
        <v>0</v>
      </c>
      <c r="I1687" s="71"/>
      <c r="J1687" s="73"/>
      <c r="K1687" s="74">
        <v>0</v>
      </c>
      <c r="L1687" s="74">
        <f t="shared" si="907"/>
        <v>0</v>
      </c>
      <c r="M1687" s="74"/>
      <c r="N1687" s="74">
        <f t="shared" si="905"/>
        <v>0</v>
      </c>
      <c r="O1687" s="74"/>
      <c r="P1687" s="67">
        <v>0</v>
      </c>
    </row>
    <row r="1688" spans="1:21" ht="12.75" hidden="1" x14ac:dyDescent="0.2">
      <c r="A1688" s="194"/>
      <c r="B1688" s="90"/>
      <c r="C1688" s="72" t="s">
        <v>605</v>
      </c>
      <c r="D1688" s="102"/>
      <c r="E1688" s="71"/>
      <c r="F1688" s="73"/>
      <c r="G1688" s="73"/>
      <c r="H1688" s="73">
        <f t="shared" si="906"/>
        <v>0</v>
      </c>
      <c r="I1688" s="71"/>
      <c r="J1688" s="73"/>
      <c r="K1688" s="74"/>
      <c r="L1688" s="74">
        <f t="shared" si="907"/>
        <v>0</v>
      </c>
      <c r="M1688" s="74"/>
      <c r="N1688" s="74">
        <f t="shared" si="905"/>
        <v>0</v>
      </c>
      <c r="O1688" s="74"/>
      <c r="P1688" s="67">
        <f>+N1688+M1688</f>
        <v>0</v>
      </c>
    </row>
    <row r="1689" spans="1:21" ht="12.75" hidden="1" x14ac:dyDescent="0.2">
      <c r="A1689" s="194" t="s">
        <v>541</v>
      </c>
      <c r="B1689" s="90"/>
      <c r="C1689" s="72" t="s">
        <v>542</v>
      </c>
      <c r="D1689" s="102">
        <v>0</v>
      </c>
      <c r="E1689" s="71"/>
      <c r="F1689" s="73">
        <f t="shared" ref="F1689:F1704" si="909">D1689+E1689</f>
        <v>0</v>
      </c>
      <c r="G1689" s="73"/>
      <c r="H1689" s="73">
        <f t="shared" si="906"/>
        <v>0</v>
      </c>
      <c r="I1689" s="71"/>
      <c r="J1689" s="73"/>
      <c r="K1689" s="74"/>
      <c r="L1689" s="74">
        <f t="shared" si="907"/>
        <v>0</v>
      </c>
      <c r="M1689" s="74"/>
      <c r="N1689" s="74">
        <f t="shared" si="905"/>
        <v>0</v>
      </c>
      <c r="O1689" s="74"/>
      <c r="P1689" s="67">
        <f>+N1689+M1689</f>
        <v>0</v>
      </c>
    </row>
    <row r="1690" spans="1:21" ht="38.25" x14ac:dyDescent="0.2">
      <c r="A1690" s="194" t="s">
        <v>543</v>
      </c>
      <c r="B1690" s="90"/>
      <c r="C1690" s="72" t="s">
        <v>544</v>
      </c>
      <c r="D1690" s="102">
        <v>-100000</v>
      </c>
      <c r="E1690" s="71"/>
      <c r="F1690" s="73">
        <f t="shared" si="909"/>
        <v>-100000</v>
      </c>
      <c r="G1690" s="73">
        <v>-33000</v>
      </c>
      <c r="H1690" s="73">
        <f t="shared" si="906"/>
        <v>-133000</v>
      </c>
      <c r="I1690" s="71"/>
      <c r="J1690" s="73">
        <v>-100000</v>
      </c>
      <c r="K1690" s="74">
        <v>60000</v>
      </c>
      <c r="L1690" s="74">
        <f t="shared" si="907"/>
        <v>-40000</v>
      </c>
      <c r="M1690" s="74"/>
      <c r="N1690" s="74">
        <f t="shared" si="905"/>
        <v>-40000</v>
      </c>
      <c r="O1690" s="74"/>
      <c r="P1690" s="67">
        <v>-50000</v>
      </c>
      <c r="Q1690" s="49" t="s">
        <v>1345</v>
      </c>
    </row>
    <row r="1691" spans="1:21" ht="1.5" hidden="1" customHeight="1" x14ac:dyDescent="0.2">
      <c r="A1691" s="194" t="s">
        <v>545</v>
      </c>
      <c r="B1691" s="90"/>
      <c r="C1691" s="72" t="s">
        <v>507</v>
      </c>
      <c r="D1691" s="102">
        <v>-110000</v>
      </c>
      <c r="E1691" s="71"/>
      <c r="F1691" s="73">
        <f t="shared" si="909"/>
        <v>-110000</v>
      </c>
      <c r="G1691" s="73">
        <v>110000</v>
      </c>
      <c r="H1691" s="73">
        <f t="shared" si="906"/>
        <v>0</v>
      </c>
      <c r="I1691" s="71"/>
      <c r="J1691" s="73">
        <v>-30000</v>
      </c>
      <c r="K1691" s="74">
        <v>30000</v>
      </c>
      <c r="L1691" s="74">
        <f t="shared" si="907"/>
        <v>0</v>
      </c>
      <c r="M1691" s="74"/>
      <c r="N1691" s="74">
        <f t="shared" si="905"/>
        <v>0</v>
      </c>
      <c r="O1691" s="74"/>
      <c r="P1691" s="67">
        <f>+N1691+M1691</f>
        <v>0</v>
      </c>
    </row>
    <row r="1692" spans="1:21" ht="12.75" x14ac:dyDescent="0.2">
      <c r="A1692" s="194" t="s">
        <v>546</v>
      </c>
      <c r="B1692" s="90"/>
      <c r="C1692" s="72" t="s">
        <v>719</v>
      </c>
      <c r="D1692" s="102">
        <v>-275000</v>
      </c>
      <c r="E1692" s="71"/>
      <c r="F1692" s="73">
        <f t="shared" si="909"/>
        <v>-275000</v>
      </c>
      <c r="G1692" s="73"/>
      <c r="H1692" s="73">
        <f t="shared" si="906"/>
        <v>-275000</v>
      </c>
      <c r="I1692" s="71">
        <v>-105127</v>
      </c>
      <c r="J1692" s="73"/>
      <c r="K1692" s="74"/>
      <c r="L1692" s="74">
        <f t="shared" si="907"/>
        <v>0</v>
      </c>
      <c r="M1692" s="92">
        <v>-38368</v>
      </c>
      <c r="N1692" s="74">
        <f t="shared" si="905"/>
        <v>-38368</v>
      </c>
      <c r="O1692" s="74"/>
      <c r="P1692" s="67">
        <v>0</v>
      </c>
    </row>
    <row r="1693" spans="1:21" ht="0.6" customHeight="1" x14ac:dyDescent="0.2">
      <c r="A1693" s="194" t="s">
        <v>546</v>
      </c>
      <c r="B1693" s="90"/>
      <c r="C1693" s="72" t="s">
        <v>511</v>
      </c>
      <c r="D1693" s="102">
        <v>-49000</v>
      </c>
      <c r="E1693" s="71"/>
      <c r="F1693" s="73">
        <f t="shared" si="909"/>
        <v>-49000</v>
      </c>
      <c r="G1693" s="73"/>
      <c r="H1693" s="73">
        <f t="shared" si="906"/>
        <v>-49000</v>
      </c>
      <c r="I1693" s="71">
        <v>-40741</v>
      </c>
      <c r="J1693" s="73"/>
      <c r="K1693" s="74"/>
      <c r="L1693" s="74">
        <f t="shared" si="907"/>
        <v>0</v>
      </c>
      <c r="M1693" s="92"/>
      <c r="N1693" s="74">
        <f t="shared" si="905"/>
        <v>0</v>
      </c>
      <c r="O1693" s="74"/>
      <c r="P1693" s="67">
        <f>+N1693+M1693</f>
        <v>0</v>
      </c>
    </row>
    <row r="1694" spans="1:21" ht="14.1" customHeight="1" x14ac:dyDescent="0.2">
      <c r="A1694" s="194" t="s">
        <v>546</v>
      </c>
      <c r="B1694" s="90"/>
      <c r="C1694" s="72" t="s">
        <v>547</v>
      </c>
      <c r="D1694" s="102">
        <v>-20000</v>
      </c>
      <c r="E1694" s="71"/>
      <c r="F1694" s="73">
        <f t="shared" si="909"/>
        <v>-20000</v>
      </c>
      <c r="G1694" s="73"/>
      <c r="H1694" s="73">
        <f t="shared" si="906"/>
        <v>-20000</v>
      </c>
      <c r="I1694" s="97"/>
      <c r="J1694" s="73">
        <v>-50000</v>
      </c>
      <c r="K1694" s="74"/>
      <c r="L1694" s="74">
        <f t="shared" si="907"/>
        <v>-50000</v>
      </c>
      <c r="M1694" s="92">
        <v>-5000</v>
      </c>
      <c r="N1694" s="74">
        <f t="shared" si="905"/>
        <v>-55000</v>
      </c>
      <c r="O1694" s="74"/>
      <c r="P1694" s="67">
        <v>-50000</v>
      </c>
      <c r="Q1694" s="49" t="s">
        <v>1329</v>
      </c>
    </row>
    <row r="1695" spans="1:21" ht="12.95" customHeight="1" x14ac:dyDescent="0.2">
      <c r="A1695" s="194" t="s">
        <v>548</v>
      </c>
      <c r="B1695" s="90"/>
      <c r="C1695" s="72" t="s">
        <v>549</v>
      </c>
      <c r="D1695" s="102">
        <v>-190000</v>
      </c>
      <c r="E1695" s="71"/>
      <c r="F1695" s="73">
        <f t="shared" si="909"/>
        <v>-190000</v>
      </c>
      <c r="G1695" s="73">
        <v>-23000</v>
      </c>
      <c r="H1695" s="73">
        <f t="shared" si="906"/>
        <v>-213000</v>
      </c>
      <c r="I1695" s="71">
        <v>-64897</v>
      </c>
      <c r="J1695" s="73">
        <v>-100000</v>
      </c>
      <c r="K1695" s="74">
        <v>30000</v>
      </c>
      <c r="L1695" s="74">
        <f t="shared" si="907"/>
        <v>-70000</v>
      </c>
      <c r="M1695" s="74"/>
      <c r="N1695" s="74">
        <f t="shared" si="905"/>
        <v>-70000</v>
      </c>
      <c r="O1695" s="74"/>
      <c r="P1695" s="67">
        <v>-70000</v>
      </c>
      <c r="Q1695" s="49" t="s">
        <v>1328</v>
      </c>
    </row>
    <row r="1696" spans="1:21" ht="12.75" hidden="1" x14ac:dyDescent="0.2">
      <c r="A1696" s="194"/>
      <c r="B1696" s="90"/>
      <c r="C1696" s="72" t="s">
        <v>659</v>
      </c>
      <c r="D1696" s="102"/>
      <c r="E1696" s="71"/>
      <c r="F1696" s="73"/>
      <c r="G1696" s="73"/>
      <c r="H1696" s="73"/>
      <c r="I1696" s="71"/>
      <c r="J1696" s="73"/>
      <c r="K1696" s="74"/>
      <c r="L1696" s="74"/>
      <c r="M1696" s="74"/>
      <c r="N1696" s="74">
        <f t="shared" si="905"/>
        <v>0</v>
      </c>
      <c r="O1696" s="74"/>
      <c r="P1696" s="67">
        <f>+N1696+M1696</f>
        <v>0</v>
      </c>
    </row>
    <row r="1697" spans="1:26" ht="14.1" customHeight="1" x14ac:dyDescent="0.2">
      <c r="A1697" s="194" t="s">
        <v>526</v>
      </c>
      <c r="B1697" s="90"/>
      <c r="C1697" s="72" t="s">
        <v>550</v>
      </c>
      <c r="D1697" s="102">
        <v>-50000</v>
      </c>
      <c r="E1697" s="71"/>
      <c r="F1697" s="73">
        <f t="shared" si="909"/>
        <v>-50000</v>
      </c>
      <c r="G1697" s="73"/>
      <c r="H1697" s="73">
        <f t="shared" si="906"/>
        <v>-50000</v>
      </c>
      <c r="I1697" s="71"/>
      <c r="J1697" s="73">
        <v>-30000</v>
      </c>
      <c r="K1697" s="74"/>
      <c r="L1697" s="74">
        <f t="shared" si="907"/>
        <v>-30000</v>
      </c>
      <c r="M1697" s="92">
        <v>-20000</v>
      </c>
      <c r="N1697" s="74">
        <f t="shared" si="905"/>
        <v>-50000</v>
      </c>
      <c r="O1697" s="74"/>
      <c r="P1697" s="67">
        <v>-50000</v>
      </c>
      <c r="S1697" s="56" t="s">
        <v>751</v>
      </c>
    </row>
    <row r="1698" spans="1:26" ht="13.5" customHeight="1" x14ac:dyDescent="0.2">
      <c r="A1698" s="194" t="s">
        <v>233</v>
      </c>
      <c r="B1698" s="90"/>
      <c r="C1698" s="72" t="s">
        <v>721</v>
      </c>
      <c r="D1698" s="102">
        <v>-40000</v>
      </c>
      <c r="E1698" s="71"/>
      <c r="F1698" s="73">
        <f t="shared" si="909"/>
        <v>-40000</v>
      </c>
      <c r="G1698" s="73"/>
      <c r="H1698" s="73">
        <f t="shared" si="906"/>
        <v>-40000</v>
      </c>
      <c r="I1698" s="71"/>
      <c r="J1698" s="73">
        <v>-350000</v>
      </c>
      <c r="K1698" s="74">
        <v>50000</v>
      </c>
      <c r="L1698" s="74">
        <f t="shared" si="907"/>
        <v>-300000</v>
      </c>
      <c r="M1698" s="92">
        <v>290000</v>
      </c>
      <c r="N1698" s="74">
        <f t="shared" si="905"/>
        <v>-10000</v>
      </c>
      <c r="O1698" s="74"/>
      <c r="P1698" s="67">
        <v>-700000</v>
      </c>
      <c r="Q1698" s="49" t="s">
        <v>722</v>
      </c>
    </row>
    <row r="1699" spans="1:26" ht="13.5" hidden="1" customHeight="1" x14ac:dyDescent="0.2">
      <c r="A1699" s="194" t="s">
        <v>551</v>
      </c>
      <c r="B1699" s="90"/>
      <c r="C1699" s="72" t="s">
        <v>552</v>
      </c>
      <c r="D1699" s="102">
        <v>0</v>
      </c>
      <c r="E1699" s="71"/>
      <c r="F1699" s="73">
        <f t="shared" si="909"/>
        <v>0</v>
      </c>
      <c r="G1699" s="73"/>
      <c r="H1699" s="73">
        <f t="shared" si="906"/>
        <v>0</v>
      </c>
      <c r="I1699" s="71"/>
      <c r="J1699" s="73">
        <v>-15000</v>
      </c>
      <c r="K1699" s="74"/>
      <c r="L1699" s="74">
        <f t="shared" si="907"/>
        <v>-15000</v>
      </c>
      <c r="M1699" s="92">
        <v>-2000</v>
      </c>
      <c r="N1699" s="74">
        <f t="shared" si="905"/>
        <v>-17000</v>
      </c>
      <c r="O1699" s="74"/>
      <c r="P1699" s="67">
        <v>0</v>
      </c>
    </row>
    <row r="1700" spans="1:26" ht="12.95" hidden="1" customHeight="1" x14ac:dyDescent="0.2">
      <c r="A1700" s="194" t="s">
        <v>233</v>
      </c>
      <c r="B1700" s="90"/>
      <c r="C1700" s="292" t="s">
        <v>553</v>
      </c>
      <c r="D1700" s="102">
        <v>0</v>
      </c>
      <c r="E1700" s="71"/>
      <c r="F1700" s="73">
        <f t="shared" si="909"/>
        <v>0</v>
      </c>
      <c r="G1700" s="73"/>
      <c r="H1700" s="73">
        <f t="shared" si="906"/>
        <v>0</v>
      </c>
      <c r="I1700" s="97"/>
      <c r="J1700" s="73"/>
      <c r="K1700" s="74"/>
      <c r="L1700" s="74">
        <f t="shared" si="907"/>
        <v>0</v>
      </c>
      <c r="M1700" s="74"/>
      <c r="N1700" s="74">
        <f t="shared" si="905"/>
        <v>0</v>
      </c>
      <c r="O1700" s="74"/>
      <c r="P1700" s="67">
        <f>+N1700+M1700</f>
        <v>0</v>
      </c>
    </row>
    <row r="1701" spans="1:26" ht="14.1" hidden="1" customHeight="1" x14ac:dyDescent="0.2">
      <c r="A1701" s="194" t="s">
        <v>233</v>
      </c>
      <c r="B1701" s="90"/>
      <c r="C1701" s="292" t="s">
        <v>554</v>
      </c>
      <c r="D1701" s="102">
        <v>-1900000</v>
      </c>
      <c r="E1701" s="71">
        <v>-215000</v>
      </c>
      <c r="F1701" s="73">
        <f t="shared" si="909"/>
        <v>-2115000</v>
      </c>
      <c r="G1701" s="73">
        <v>-35000</v>
      </c>
      <c r="H1701" s="73">
        <f t="shared" si="906"/>
        <v>-2150000</v>
      </c>
      <c r="I1701" s="71">
        <v>-752720</v>
      </c>
      <c r="J1701" s="73"/>
      <c r="K1701" s="74"/>
      <c r="L1701" s="74">
        <f t="shared" si="907"/>
        <v>0</v>
      </c>
      <c r="M1701" s="74"/>
      <c r="N1701" s="74">
        <f t="shared" si="905"/>
        <v>0</v>
      </c>
      <c r="O1701" s="74"/>
      <c r="P1701" s="67">
        <f>+N1701+M1701</f>
        <v>0</v>
      </c>
    </row>
    <row r="1702" spans="1:26" ht="14.1" hidden="1" customHeight="1" x14ac:dyDescent="0.2">
      <c r="A1702" s="194" t="s">
        <v>233</v>
      </c>
      <c r="B1702" s="90"/>
      <c r="C1702" s="72" t="s">
        <v>555</v>
      </c>
      <c r="D1702" s="102"/>
      <c r="E1702" s="71">
        <v>-45000</v>
      </c>
      <c r="F1702" s="73">
        <f t="shared" si="909"/>
        <v>-45000</v>
      </c>
      <c r="G1702" s="73"/>
      <c r="H1702" s="73">
        <f t="shared" si="906"/>
        <v>-45000</v>
      </c>
      <c r="I1702" s="71">
        <v>-37500</v>
      </c>
      <c r="J1702" s="73"/>
      <c r="K1702" s="74"/>
      <c r="L1702" s="74">
        <f t="shared" si="907"/>
        <v>0</v>
      </c>
      <c r="M1702" s="74"/>
      <c r="N1702" s="74">
        <f t="shared" si="905"/>
        <v>0</v>
      </c>
      <c r="O1702" s="74"/>
      <c r="P1702" s="67">
        <f>+N1702+M1702</f>
        <v>0</v>
      </c>
    </row>
    <row r="1703" spans="1:26" ht="13.5" hidden="1" customHeight="1" x14ac:dyDescent="0.2">
      <c r="A1703" s="194" t="s">
        <v>233</v>
      </c>
      <c r="B1703" s="90"/>
      <c r="C1703" s="72" t="s">
        <v>556</v>
      </c>
      <c r="D1703" s="102">
        <v>-50000</v>
      </c>
      <c r="E1703" s="71"/>
      <c r="F1703" s="73">
        <f t="shared" si="909"/>
        <v>-50000</v>
      </c>
      <c r="G1703" s="73">
        <v>-10000</v>
      </c>
      <c r="H1703" s="73">
        <f t="shared" si="906"/>
        <v>-60000</v>
      </c>
      <c r="I1703" s="71"/>
      <c r="J1703" s="73">
        <v>-50000</v>
      </c>
      <c r="K1703" s="74"/>
      <c r="L1703" s="74">
        <f t="shared" si="907"/>
        <v>-50000</v>
      </c>
      <c r="M1703" s="74"/>
      <c r="N1703" s="74">
        <f t="shared" si="905"/>
        <v>-50000</v>
      </c>
      <c r="O1703" s="74"/>
      <c r="P1703" s="67">
        <v>0</v>
      </c>
    </row>
    <row r="1704" spans="1:26" ht="12.95" hidden="1" customHeight="1" x14ac:dyDescent="0.2">
      <c r="A1704" s="194" t="s">
        <v>233</v>
      </c>
      <c r="B1704" s="90"/>
      <c r="C1704" s="72" t="s">
        <v>600</v>
      </c>
      <c r="D1704" s="102">
        <v>-20000</v>
      </c>
      <c r="E1704" s="71">
        <v>-8100</v>
      </c>
      <c r="F1704" s="73">
        <f t="shared" si="909"/>
        <v>-28100</v>
      </c>
      <c r="G1704" s="73"/>
      <c r="H1704" s="73">
        <f t="shared" si="906"/>
        <v>-28100</v>
      </c>
      <c r="I1704" s="71">
        <v>-28176</v>
      </c>
      <c r="J1704" s="73">
        <v>-580000</v>
      </c>
      <c r="K1704" s="74">
        <v>580000</v>
      </c>
      <c r="L1704" s="74">
        <f t="shared" si="907"/>
        <v>0</v>
      </c>
      <c r="M1704" s="74"/>
      <c r="N1704" s="74">
        <f t="shared" si="905"/>
        <v>0</v>
      </c>
      <c r="O1704" s="74"/>
      <c r="P1704" s="67">
        <f>+N1704+M1704</f>
        <v>0</v>
      </c>
    </row>
    <row r="1705" spans="1:26" ht="14.1" hidden="1" customHeight="1" x14ac:dyDescent="0.2">
      <c r="A1705" s="194"/>
      <c r="B1705" s="90"/>
      <c r="C1705" s="72" t="s">
        <v>557</v>
      </c>
      <c r="D1705" s="102"/>
      <c r="E1705" s="71"/>
      <c r="F1705" s="73"/>
      <c r="G1705" s="73"/>
      <c r="H1705" s="73">
        <f t="shared" si="906"/>
        <v>0</v>
      </c>
      <c r="I1705" s="71"/>
      <c r="J1705" s="73">
        <v>-45000</v>
      </c>
      <c r="K1705" s="74">
        <v>45000</v>
      </c>
      <c r="L1705" s="74">
        <f t="shared" si="907"/>
        <v>0</v>
      </c>
      <c r="M1705" s="74"/>
      <c r="N1705" s="74">
        <f t="shared" si="905"/>
        <v>0</v>
      </c>
      <c r="O1705" s="74"/>
      <c r="P1705" s="67">
        <f>+N1705+M1705</f>
        <v>0</v>
      </c>
    </row>
    <row r="1706" spans="1:26" ht="0.95" hidden="1" customHeight="1" x14ac:dyDescent="0.2">
      <c r="A1706" s="194" t="s">
        <v>558</v>
      </c>
      <c r="B1706" s="90"/>
      <c r="C1706" s="72" t="s">
        <v>559</v>
      </c>
      <c r="D1706" s="102">
        <v>-308000</v>
      </c>
      <c r="E1706" s="71">
        <v>-20000</v>
      </c>
      <c r="F1706" s="73">
        <f t="shared" ref="F1706:F1721" si="910">D1706+E1706</f>
        <v>-328000</v>
      </c>
      <c r="G1706" s="73">
        <v>-35000</v>
      </c>
      <c r="H1706" s="73">
        <f t="shared" si="906"/>
        <v>-363000</v>
      </c>
      <c r="I1706" s="71"/>
      <c r="J1706" s="73"/>
      <c r="K1706" s="74"/>
      <c r="L1706" s="74">
        <f t="shared" si="907"/>
        <v>0</v>
      </c>
      <c r="M1706" s="74"/>
      <c r="N1706" s="74">
        <f t="shared" si="905"/>
        <v>0</v>
      </c>
      <c r="O1706" s="74"/>
      <c r="P1706" s="67">
        <f>+N1706+M1706</f>
        <v>0</v>
      </c>
    </row>
    <row r="1707" spans="1:26" ht="13.5" customHeight="1" x14ac:dyDescent="0.2">
      <c r="A1707" s="194" t="s">
        <v>558</v>
      </c>
      <c r="B1707" s="90"/>
      <c r="C1707" s="72" t="s">
        <v>361</v>
      </c>
      <c r="D1707" s="102">
        <v>-100000</v>
      </c>
      <c r="E1707" s="71"/>
      <c r="F1707" s="73">
        <f t="shared" si="910"/>
        <v>-100000</v>
      </c>
      <c r="G1707" s="73">
        <v>88620</v>
      </c>
      <c r="H1707" s="73">
        <f t="shared" si="906"/>
        <v>-11380</v>
      </c>
      <c r="I1707" s="71"/>
      <c r="J1707" s="73">
        <v>-2513000</v>
      </c>
      <c r="K1707" s="74">
        <v>-500000</v>
      </c>
      <c r="L1707" s="74">
        <f t="shared" si="907"/>
        <v>-3013000</v>
      </c>
      <c r="M1707" s="92">
        <v>2963944</v>
      </c>
      <c r="N1707" s="74">
        <f t="shared" si="905"/>
        <v>-49056</v>
      </c>
      <c r="O1707" s="74"/>
      <c r="P1707" s="67">
        <v>-4100000</v>
      </c>
      <c r="Q1707" s="49" t="s">
        <v>1548</v>
      </c>
      <c r="R1707" s="173">
        <v>1136056</v>
      </c>
      <c r="T1707" s="56" t="s">
        <v>723</v>
      </c>
    </row>
    <row r="1708" spans="1:26" ht="13.5" hidden="1" customHeight="1" x14ac:dyDescent="0.2">
      <c r="A1708" s="194" t="s">
        <v>558</v>
      </c>
      <c r="B1708" s="90"/>
      <c r="C1708" s="72" t="s">
        <v>560</v>
      </c>
      <c r="D1708" s="102">
        <v>-1000000</v>
      </c>
      <c r="E1708" s="71">
        <v>800000</v>
      </c>
      <c r="F1708" s="73">
        <f t="shared" si="910"/>
        <v>-200000</v>
      </c>
      <c r="G1708" s="73">
        <v>88615</v>
      </c>
      <c r="H1708" s="73">
        <f t="shared" si="906"/>
        <v>-111385</v>
      </c>
      <c r="I1708" s="71">
        <v>-39550</v>
      </c>
      <c r="J1708" s="73">
        <v>-1755000</v>
      </c>
      <c r="K1708" s="74"/>
      <c r="L1708" s="74">
        <f t="shared" si="907"/>
        <v>-1755000</v>
      </c>
      <c r="M1708" s="92">
        <v>-116000</v>
      </c>
      <c r="N1708" s="74">
        <f t="shared" si="905"/>
        <v>-1871000</v>
      </c>
      <c r="O1708" s="74"/>
      <c r="P1708" s="67">
        <v>0</v>
      </c>
    </row>
    <row r="1709" spans="1:26" ht="12.75" hidden="1" customHeight="1" x14ac:dyDescent="0.2">
      <c r="A1709" s="194" t="s">
        <v>377</v>
      </c>
      <c r="B1709" s="90"/>
      <c r="C1709" s="72" t="s">
        <v>561</v>
      </c>
      <c r="D1709" s="102">
        <v>-195000</v>
      </c>
      <c r="E1709" s="71">
        <v>55000</v>
      </c>
      <c r="F1709" s="73">
        <f t="shared" si="910"/>
        <v>-140000</v>
      </c>
      <c r="G1709" s="73"/>
      <c r="H1709" s="73">
        <f t="shared" si="906"/>
        <v>-140000</v>
      </c>
      <c r="I1709" s="71"/>
      <c r="J1709" s="73"/>
      <c r="K1709" s="74">
        <v>-139570</v>
      </c>
      <c r="L1709" s="74">
        <f t="shared" si="907"/>
        <v>-139570</v>
      </c>
      <c r="M1709" s="74"/>
      <c r="N1709" s="74">
        <f t="shared" si="905"/>
        <v>-139570</v>
      </c>
      <c r="O1709" s="74"/>
      <c r="P1709" s="67">
        <v>0</v>
      </c>
    </row>
    <row r="1710" spans="1:26" ht="13.5" hidden="1" customHeight="1" x14ac:dyDescent="0.2">
      <c r="A1710" s="194" t="s">
        <v>377</v>
      </c>
      <c r="B1710" s="90"/>
      <c r="C1710" s="72" t="s">
        <v>504</v>
      </c>
      <c r="D1710" s="102">
        <v>0</v>
      </c>
      <c r="E1710" s="71">
        <v>-170000</v>
      </c>
      <c r="F1710" s="73">
        <f t="shared" si="910"/>
        <v>-170000</v>
      </c>
      <c r="G1710" s="73">
        <v>170000</v>
      </c>
      <c r="H1710" s="73">
        <f t="shared" si="906"/>
        <v>0</v>
      </c>
      <c r="I1710" s="71"/>
      <c r="J1710" s="73"/>
      <c r="K1710" s="74"/>
      <c r="L1710" s="74">
        <f t="shared" si="907"/>
        <v>0</v>
      </c>
      <c r="M1710" s="74"/>
      <c r="N1710" s="74">
        <f t="shared" si="905"/>
        <v>0</v>
      </c>
      <c r="O1710" s="74"/>
      <c r="P1710" s="67">
        <f>+N1710+M1710</f>
        <v>0</v>
      </c>
      <c r="W1710" s="293"/>
      <c r="X1710" s="50"/>
      <c r="Y1710" s="294"/>
    </row>
    <row r="1711" spans="1:26" ht="14.1" hidden="1" customHeight="1" x14ac:dyDescent="0.2">
      <c r="A1711" s="290" t="s">
        <v>377</v>
      </c>
      <c r="B1711" s="69"/>
      <c r="C1711" s="72" t="s">
        <v>562</v>
      </c>
      <c r="D1711" s="102">
        <v>-45000</v>
      </c>
      <c r="E1711" s="71">
        <v>0</v>
      </c>
      <c r="F1711" s="73">
        <f t="shared" si="910"/>
        <v>-45000</v>
      </c>
      <c r="G1711" s="73"/>
      <c r="H1711" s="73">
        <f t="shared" si="906"/>
        <v>-45000</v>
      </c>
      <c r="I1711" s="71">
        <v>-13909</v>
      </c>
      <c r="J1711" s="73"/>
      <c r="K1711" s="74"/>
      <c r="L1711" s="74">
        <f t="shared" si="907"/>
        <v>0</v>
      </c>
      <c r="M1711" s="74"/>
      <c r="N1711" s="74">
        <f t="shared" si="905"/>
        <v>0</v>
      </c>
      <c r="O1711" s="74"/>
      <c r="P1711" s="67">
        <f>+N1711+M1711</f>
        <v>0</v>
      </c>
      <c r="W1711" s="295"/>
      <c r="X1711" s="296"/>
      <c r="Y1711" s="297"/>
    </row>
    <row r="1712" spans="1:26" ht="14.1" hidden="1" customHeight="1" x14ac:dyDescent="0.2">
      <c r="A1712" s="290" t="s">
        <v>377</v>
      </c>
      <c r="B1712" s="69"/>
      <c r="C1712" s="72" t="s">
        <v>563</v>
      </c>
      <c r="D1712" s="102">
        <v>0</v>
      </c>
      <c r="E1712" s="71"/>
      <c r="F1712" s="73">
        <f t="shared" si="910"/>
        <v>0</v>
      </c>
      <c r="G1712" s="73"/>
      <c r="H1712" s="73">
        <f t="shared" si="906"/>
        <v>0</v>
      </c>
      <c r="I1712" s="71"/>
      <c r="J1712" s="73">
        <v>-30000</v>
      </c>
      <c r="K1712" s="74">
        <v>30000</v>
      </c>
      <c r="L1712" s="74">
        <f t="shared" si="907"/>
        <v>0</v>
      </c>
      <c r="M1712" s="74"/>
      <c r="N1712" s="74">
        <f t="shared" si="905"/>
        <v>0</v>
      </c>
      <c r="O1712" s="74"/>
      <c r="P1712" s="67">
        <f>+N1712+M1712</f>
        <v>0</v>
      </c>
      <c r="W1712" s="298"/>
      <c r="X1712" s="296"/>
      <c r="Y1712" s="299"/>
      <c r="Z1712" s="57"/>
    </row>
    <row r="1713" spans="1:26" ht="13.5" hidden="1" customHeight="1" x14ac:dyDescent="0.2">
      <c r="A1713" s="290" t="s">
        <v>233</v>
      </c>
      <c r="B1713" s="69"/>
      <c r="C1713" s="72" t="s">
        <v>657</v>
      </c>
      <c r="D1713" s="102">
        <v>-400000</v>
      </c>
      <c r="E1713" s="71">
        <v>400000</v>
      </c>
      <c r="F1713" s="73">
        <f t="shared" si="910"/>
        <v>0</v>
      </c>
      <c r="G1713" s="73"/>
      <c r="H1713" s="73">
        <f t="shared" si="906"/>
        <v>0</v>
      </c>
      <c r="I1713" s="71"/>
      <c r="J1713" s="73">
        <v>-400000</v>
      </c>
      <c r="K1713" s="74">
        <v>-200000</v>
      </c>
      <c r="L1713" s="74">
        <f t="shared" si="907"/>
        <v>-600000</v>
      </c>
      <c r="M1713" s="74"/>
      <c r="N1713" s="74">
        <f t="shared" si="905"/>
        <v>-600000</v>
      </c>
      <c r="O1713" s="74"/>
      <c r="P1713" s="67">
        <v>0</v>
      </c>
      <c r="W1713" s="298"/>
      <c r="X1713" s="296"/>
      <c r="Y1713" s="299"/>
      <c r="Z1713" s="57"/>
    </row>
    <row r="1714" spans="1:26" ht="14.1" customHeight="1" x14ac:dyDescent="0.2">
      <c r="A1714" s="290"/>
      <c r="B1714" s="69"/>
      <c r="C1714" s="72" t="s">
        <v>658</v>
      </c>
      <c r="D1714" s="102"/>
      <c r="E1714" s="71"/>
      <c r="F1714" s="73"/>
      <c r="G1714" s="73"/>
      <c r="H1714" s="73"/>
      <c r="I1714" s="71"/>
      <c r="J1714" s="73"/>
      <c r="K1714" s="74"/>
      <c r="L1714" s="74"/>
      <c r="M1714" s="74"/>
      <c r="N1714" s="74">
        <f t="shared" si="905"/>
        <v>0</v>
      </c>
      <c r="O1714" s="74"/>
      <c r="P1714" s="67">
        <v>-469920</v>
      </c>
      <c r="Q1714" s="254">
        <v>-469920</v>
      </c>
      <c r="R1714" s="289"/>
      <c r="S1714" s="254" t="s">
        <v>655</v>
      </c>
      <c r="T1714" s="56" t="s">
        <v>718</v>
      </c>
      <c r="W1714" s="298"/>
      <c r="X1714" s="296"/>
      <c r="Y1714" s="299"/>
      <c r="Z1714" s="57"/>
    </row>
    <row r="1715" spans="1:26" ht="14.1" customHeight="1" x14ac:dyDescent="0.2">
      <c r="A1715" s="290" t="s">
        <v>233</v>
      </c>
      <c r="B1715" s="69"/>
      <c r="C1715" s="72" t="s">
        <v>564</v>
      </c>
      <c r="D1715" s="102">
        <v>-300000</v>
      </c>
      <c r="E1715" s="71">
        <v>0</v>
      </c>
      <c r="F1715" s="73">
        <f t="shared" si="910"/>
        <v>-300000</v>
      </c>
      <c r="G1715" s="73">
        <v>300000</v>
      </c>
      <c r="H1715" s="73">
        <f t="shared" si="906"/>
        <v>0</v>
      </c>
      <c r="I1715" s="71"/>
      <c r="J1715" s="73">
        <v>-429000</v>
      </c>
      <c r="K1715" s="74"/>
      <c r="L1715" s="74">
        <f t="shared" si="907"/>
        <v>-429000</v>
      </c>
      <c r="M1715" s="300">
        <f>-13000-10500</f>
        <v>-23500</v>
      </c>
      <c r="N1715" s="74">
        <f t="shared" si="905"/>
        <v>-452500</v>
      </c>
      <c r="O1715" s="74"/>
      <c r="P1715" s="67">
        <v>0</v>
      </c>
      <c r="W1715" s="298"/>
      <c r="X1715" s="301" t="s">
        <v>754</v>
      </c>
      <c r="Y1715" s="299"/>
      <c r="Z1715" s="57"/>
    </row>
    <row r="1716" spans="1:26" ht="13.5" hidden="1" customHeight="1" x14ac:dyDescent="0.2">
      <c r="A1716" s="290" t="s">
        <v>233</v>
      </c>
      <c r="B1716" s="69"/>
      <c r="C1716" s="72" t="s">
        <v>565</v>
      </c>
      <c r="D1716" s="102">
        <v>0</v>
      </c>
      <c r="E1716" s="71"/>
      <c r="F1716" s="73">
        <f t="shared" si="910"/>
        <v>0</v>
      </c>
      <c r="G1716" s="73"/>
      <c r="H1716" s="73">
        <f t="shared" si="906"/>
        <v>0</v>
      </c>
      <c r="I1716" s="71"/>
      <c r="J1716" s="73"/>
      <c r="K1716" s="74"/>
      <c r="L1716" s="74">
        <f t="shared" si="907"/>
        <v>0</v>
      </c>
      <c r="M1716" s="74"/>
      <c r="N1716" s="74">
        <f t="shared" si="905"/>
        <v>0</v>
      </c>
      <c r="O1716" s="74"/>
      <c r="P1716" s="67">
        <f>+N1716+M1716</f>
        <v>0</v>
      </c>
      <c r="W1716" s="298"/>
      <c r="X1716" s="296"/>
      <c r="Y1716" s="299"/>
      <c r="Z1716" s="57"/>
    </row>
    <row r="1717" spans="1:26" ht="12.75" customHeight="1" x14ac:dyDescent="0.2">
      <c r="A1717" s="290" t="s">
        <v>377</v>
      </c>
      <c r="B1717" s="69"/>
      <c r="C1717" s="56" t="s">
        <v>566</v>
      </c>
      <c r="D1717" s="102">
        <v>-75000</v>
      </c>
      <c r="E1717" s="71"/>
      <c r="F1717" s="73">
        <f t="shared" si="910"/>
        <v>-75000</v>
      </c>
      <c r="G1717" s="73"/>
      <c r="H1717" s="73">
        <f t="shared" si="906"/>
        <v>-75000</v>
      </c>
      <c r="I1717" s="71"/>
      <c r="J1717" s="73">
        <v>-357600</v>
      </c>
      <c r="K1717" s="74">
        <v>27600</v>
      </c>
      <c r="L1717" s="74">
        <f t="shared" si="907"/>
        <v>-330000</v>
      </c>
      <c r="M1717" s="92">
        <v>50000</v>
      </c>
      <c r="N1717" s="74">
        <f t="shared" si="905"/>
        <v>-280000</v>
      </c>
      <c r="O1717" s="74"/>
      <c r="P1717" s="67">
        <v>-163000</v>
      </c>
      <c r="Q1717" s="49" t="s">
        <v>663</v>
      </c>
      <c r="U1717" s="56" t="s">
        <v>724</v>
      </c>
    </row>
    <row r="1718" spans="1:26" ht="14.1" hidden="1" customHeight="1" x14ac:dyDescent="0.2">
      <c r="A1718" s="290" t="s">
        <v>377</v>
      </c>
      <c r="B1718" s="69"/>
      <c r="C1718" s="72" t="s">
        <v>567</v>
      </c>
      <c r="D1718" s="102">
        <v>0</v>
      </c>
      <c r="E1718" s="71"/>
      <c r="F1718" s="73">
        <f t="shared" si="910"/>
        <v>0</v>
      </c>
      <c r="G1718" s="73"/>
      <c r="H1718" s="73">
        <f t="shared" si="906"/>
        <v>0</v>
      </c>
      <c r="I1718" s="71"/>
      <c r="J1718" s="73"/>
      <c r="K1718" s="74"/>
      <c r="L1718" s="74">
        <f t="shared" si="907"/>
        <v>0</v>
      </c>
      <c r="M1718" s="74"/>
      <c r="N1718" s="74">
        <f t="shared" si="905"/>
        <v>0</v>
      </c>
      <c r="O1718" s="74"/>
      <c r="P1718" s="67">
        <f>+N1718+M1718</f>
        <v>0</v>
      </c>
    </row>
    <row r="1719" spans="1:26" ht="14.1" hidden="1" customHeight="1" x14ac:dyDescent="0.2">
      <c r="A1719" s="290" t="s">
        <v>377</v>
      </c>
      <c r="B1719" s="69"/>
      <c r="C1719" s="72" t="s">
        <v>568</v>
      </c>
      <c r="D1719" s="102">
        <v>-15000</v>
      </c>
      <c r="E1719" s="71">
        <v>15000</v>
      </c>
      <c r="F1719" s="73">
        <f t="shared" si="910"/>
        <v>0</v>
      </c>
      <c r="G1719" s="73"/>
      <c r="H1719" s="73">
        <f t="shared" si="906"/>
        <v>0</v>
      </c>
      <c r="I1719" s="97"/>
      <c r="J1719" s="73"/>
      <c r="K1719" s="74"/>
      <c r="L1719" s="74">
        <f t="shared" si="907"/>
        <v>0</v>
      </c>
      <c r="M1719" s="74"/>
      <c r="N1719" s="74">
        <f t="shared" si="905"/>
        <v>0</v>
      </c>
      <c r="O1719" s="74"/>
      <c r="P1719" s="67">
        <f>+N1719+M1719</f>
        <v>0</v>
      </c>
    </row>
    <row r="1720" spans="1:26" ht="14.1" hidden="1" customHeight="1" x14ac:dyDescent="0.2">
      <c r="A1720" s="290" t="s">
        <v>569</v>
      </c>
      <c r="B1720" s="69"/>
      <c r="C1720" s="72" t="s">
        <v>570</v>
      </c>
      <c r="D1720" s="102">
        <v>-25000</v>
      </c>
      <c r="E1720" s="71">
        <v>-8600</v>
      </c>
      <c r="F1720" s="73">
        <f t="shared" si="910"/>
        <v>-33600</v>
      </c>
      <c r="G1720" s="73"/>
      <c r="H1720" s="73">
        <f t="shared" si="906"/>
        <v>-33600</v>
      </c>
      <c r="I1720" s="97"/>
      <c r="J1720" s="73"/>
      <c r="K1720" s="74"/>
      <c r="L1720" s="74">
        <f t="shared" si="907"/>
        <v>0</v>
      </c>
      <c r="M1720" s="74"/>
      <c r="N1720" s="74">
        <f t="shared" si="905"/>
        <v>0</v>
      </c>
      <c r="O1720" s="74"/>
      <c r="P1720" s="67">
        <f>+N1720+M1720</f>
        <v>0</v>
      </c>
    </row>
    <row r="1721" spans="1:26" ht="12.6" hidden="1" customHeight="1" x14ac:dyDescent="0.2">
      <c r="A1721" s="290"/>
      <c r="B1721" s="69"/>
      <c r="C1721" s="72" t="s">
        <v>571</v>
      </c>
      <c r="D1721" s="102">
        <v>0</v>
      </c>
      <c r="E1721" s="71">
        <v>-29000</v>
      </c>
      <c r="F1721" s="73">
        <f t="shared" si="910"/>
        <v>-29000</v>
      </c>
      <c r="G1721" s="73"/>
      <c r="H1721" s="73">
        <f t="shared" si="906"/>
        <v>-29000</v>
      </c>
      <c r="I1721" s="71"/>
      <c r="J1721" s="73"/>
      <c r="K1721" s="74"/>
      <c r="L1721" s="74">
        <f t="shared" si="907"/>
        <v>0</v>
      </c>
      <c r="M1721" s="74"/>
      <c r="N1721" s="74">
        <f t="shared" si="905"/>
        <v>0</v>
      </c>
      <c r="O1721" s="74"/>
      <c r="P1721" s="67">
        <f>+N1721+M1721</f>
        <v>0</v>
      </c>
    </row>
    <row r="1722" spans="1:26" ht="14.1" customHeight="1" x14ac:dyDescent="0.2">
      <c r="A1722" s="290"/>
      <c r="B1722" s="69"/>
      <c r="C1722" s="72" t="s">
        <v>513</v>
      </c>
      <c r="D1722" s="102"/>
      <c r="E1722" s="71"/>
      <c r="F1722" s="73"/>
      <c r="G1722" s="73"/>
      <c r="H1722" s="73">
        <f t="shared" si="906"/>
        <v>0</v>
      </c>
      <c r="I1722" s="71"/>
      <c r="J1722" s="73">
        <v>-115000</v>
      </c>
      <c r="K1722" s="74"/>
      <c r="L1722" s="74">
        <f t="shared" si="907"/>
        <v>-115000</v>
      </c>
      <c r="M1722" s="74"/>
      <c r="N1722" s="74">
        <f t="shared" si="905"/>
        <v>-115000</v>
      </c>
      <c r="O1722" s="74"/>
      <c r="P1722" s="67">
        <v>0</v>
      </c>
    </row>
    <row r="1723" spans="1:26" ht="14.1" customHeight="1" x14ac:dyDescent="0.2">
      <c r="A1723" s="290"/>
      <c r="B1723" s="69"/>
      <c r="C1723" s="72" t="s">
        <v>514</v>
      </c>
      <c r="D1723" s="102"/>
      <c r="E1723" s="71"/>
      <c r="F1723" s="73"/>
      <c r="G1723" s="73"/>
      <c r="H1723" s="73">
        <f t="shared" si="906"/>
        <v>0</v>
      </c>
      <c r="I1723" s="71"/>
      <c r="J1723" s="73">
        <v>-25000</v>
      </c>
      <c r="K1723" s="74"/>
      <c r="L1723" s="74">
        <f t="shared" si="907"/>
        <v>-25000</v>
      </c>
      <c r="M1723" s="92">
        <v>-6178</v>
      </c>
      <c r="N1723" s="74">
        <f t="shared" si="905"/>
        <v>-31178</v>
      </c>
      <c r="O1723" s="74"/>
      <c r="P1723" s="67">
        <v>0</v>
      </c>
    </row>
    <row r="1724" spans="1:26" ht="14.1" customHeight="1" x14ac:dyDescent="0.2">
      <c r="A1724" s="290"/>
      <c r="B1724" s="69"/>
      <c r="C1724" s="72" t="s">
        <v>572</v>
      </c>
      <c r="D1724" s="102"/>
      <c r="E1724" s="71"/>
      <c r="F1724" s="73"/>
      <c r="G1724" s="73"/>
      <c r="H1724" s="73">
        <f t="shared" si="906"/>
        <v>0</v>
      </c>
      <c r="I1724" s="71"/>
      <c r="J1724" s="73">
        <v>-10000</v>
      </c>
      <c r="K1724" s="74"/>
      <c r="L1724" s="74">
        <f t="shared" si="907"/>
        <v>-10000</v>
      </c>
      <c r="M1724" s="92">
        <v>10000</v>
      </c>
      <c r="N1724" s="74">
        <f t="shared" si="905"/>
        <v>0</v>
      </c>
      <c r="O1724" s="74"/>
      <c r="P1724" s="67">
        <v>0</v>
      </c>
    </row>
    <row r="1725" spans="1:26" ht="0.6" customHeight="1" x14ac:dyDescent="0.2">
      <c r="A1725" s="290"/>
      <c r="B1725" s="69"/>
      <c r="C1725" s="72" t="s">
        <v>573</v>
      </c>
      <c r="D1725" s="102"/>
      <c r="E1725" s="71"/>
      <c r="F1725" s="73"/>
      <c r="G1725" s="73"/>
      <c r="H1725" s="73">
        <f t="shared" si="906"/>
        <v>0</v>
      </c>
      <c r="I1725" s="71"/>
      <c r="J1725" s="73">
        <v>-15000</v>
      </c>
      <c r="K1725" s="74">
        <v>15000</v>
      </c>
      <c r="L1725" s="74">
        <f t="shared" si="907"/>
        <v>0</v>
      </c>
      <c r="M1725" s="92"/>
      <c r="N1725" s="74">
        <f t="shared" si="905"/>
        <v>0</v>
      </c>
      <c r="O1725" s="74"/>
      <c r="P1725" s="67">
        <f>+N1725+M1725</f>
        <v>0</v>
      </c>
    </row>
    <row r="1726" spans="1:26" ht="14.1" customHeight="1" x14ac:dyDescent="0.2">
      <c r="A1726" s="290"/>
      <c r="B1726" s="69"/>
      <c r="C1726" s="72" t="s">
        <v>1339</v>
      </c>
      <c r="D1726" s="102"/>
      <c r="E1726" s="71"/>
      <c r="F1726" s="73"/>
      <c r="G1726" s="73"/>
      <c r="H1726" s="73">
        <f t="shared" si="906"/>
        <v>0</v>
      </c>
      <c r="I1726" s="71"/>
      <c r="J1726" s="73">
        <v>-30000</v>
      </c>
      <c r="K1726" s="74"/>
      <c r="L1726" s="74">
        <f t="shared" si="907"/>
        <v>-30000</v>
      </c>
      <c r="M1726" s="92">
        <v>30000</v>
      </c>
      <c r="N1726" s="74">
        <f t="shared" si="905"/>
        <v>0</v>
      </c>
      <c r="O1726" s="74"/>
      <c r="P1726" s="67">
        <v>-30000</v>
      </c>
      <c r="Q1726" s="49" t="s">
        <v>720</v>
      </c>
    </row>
    <row r="1727" spans="1:26" ht="14.1" hidden="1" customHeight="1" x14ac:dyDescent="0.2">
      <c r="A1727" s="290"/>
      <c r="B1727" s="69"/>
      <c r="C1727" s="72" t="s">
        <v>574</v>
      </c>
      <c r="D1727" s="102"/>
      <c r="E1727" s="71"/>
      <c r="F1727" s="73"/>
      <c r="G1727" s="73"/>
      <c r="H1727" s="73">
        <f t="shared" si="906"/>
        <v>0</v>
      </c>
      <c r="I1727" s="71"/>
      <c r="J1727" s="73">
        <v>-30000</v>
      </c>
      <c r="K1727" s="74">
        <v>30000</v>
      </c>
      <c r="L1727" s="74">
        <f t="shared" si="907"/>
        <v>0</v>
      </c>
      <c r="M1727" s="74"/>
      <c r="N1727" s="74">
        <f t="shared" si="905"/>
        <v>0</v>
      </c>
      <c r="O1727" s="74"/>
      <c r="P1727" s="67">
        <f>+N1727+M1727</f>
        <v>0</v>
      </c>
    </row>
    <row r="1728" spans="1:26" ht="14.1" customHeight="1" x14ac:dyDescent="0.2">
      <c r="A1728" s="290"/>
      <c r="B1728" s="69"/>
      <c r="C1728" s="72" t="s">
        <v>575</v>
      </c>
      <c r="D1728" s="102"/>
      <c r="E1728" s="71"/>
      <c r="F1728" s="73"/>
      <c r="G1728" s="73"/>
      <c r="H1728" s="73">
        <f t="shared" si="906"/>
        <v>0</v>
      </c>
      <c r="I1728" s="71"/>
      <c r="J1728" s="73">
        <v>-30000</v>
      </c>
      <c r="K1728" s="74">
        <v>-17000</v>
      </c>
      <c r="L1728" s="74">
        <f t="shared" si="907"/>
        <v>-47000</v>
      </c>
      <c r="M1728" s="74"/>
      <c r="N1728" s="74">
        <f t="shared" si="905"/>
        <v>-47000</v>
      </c>
      <c r="O1728" s="74"/>
      <c r="P1728" s="67">
        <v>0</v>
      </c>
    </row>
    <row r="1729" spans="1:20" ht="12.6" customHeight="1" x14ac:dyDescent="0.2">
      <c r="A1729" s="290"/>
      <c r="B1729" s="69"/>
      <c r="C1729" s="72" t="s">
        <v>1324</v>
      </c>
      <c r="D1729" s="102"/>
      <c r="E1729" s="71"/>
      <c r="F1729" s="73"/>
      <c r="G1729" s="73"/>
      <c r="H1729" s="73">
        <f t="shared" si="906"/>
        <v>0</v>
      </c>
      <c r="I1729" s="71"/>
      <c r="J1729" s="73">
        <v>-165000</v>
      </c>
      <c r="K1729" s="74">
        <v>15000</v>
      </c>
      <c r="L1729" s="74">
        <f t="shared" si="907"/>
        <v>-150000</v>
      </c>
      <c r="M1729" s="74"/>
      <c r="N1729" s="74">
        <f t="shared" si="905"/>
        <v>-150000</v>
      </c>
      <c r="O1729" s="74"/>
      <c r="P1729" s="67">
        <v>-36386</v>
      </c>
      <c r="Q1729" s="49" t="s">
        <v>1335</v>
      </c>
    </row>
    <row r="1730" spans="1:20" ht="14.1" customHeight="1" x14ac:dyDescent="0.2">
      <c r="A1730" s="290" t="s">
        <v>604</v>
      </c>
      <c r="B1730" s="69"/>
      <c r="C1730" s="72" t="s">
        <v>576</v>
      </c>
      <c r="D1730" s="102"/>
      <c r="E1730" s="71"/>
      <c r="F1730" s="73"/>
      <c r="G1730" s="73"/>
      <c r="H1730" s="73">
        <f t="shared" si="906"/>
        <v>0</v>
      </c>
      <c r="I1730" s="71"/>
      <c r="J1730" s="73">
        <v>-250000</v>
      </c>
      <c r="K1730" s="74"/>
      <c r="L1730" s="74">
        <f t="shared" si="907"/>
        <v>-250000</v>
      </c>
      <c r="M1730" s="92">
        <v>-150000</v>
      </c>
      <c r="N1730" s="74">
        <f t="shared" si="905"/>
        <v>-400000</v>
      </c>
      <c r="O1730" s="74"/>
      <c r="P1730" s="67"/>
    </row>
    <row r="1731" spans="1:20" ht="14.1" customHeight="1" x14ac:dyDescent="0.2">
      <c r="A1731" s="290"/>
      <c r="B1731" s="69"/>
      <c r="C1731" s="72" t="s">
        <v>577</v>
      </c>
      <c r="D1731" s="102"/>
      <c r="E1731" s="71"/>
      <c r="F1731" s="73"/>
      <c r="G1731" s="73"/>
      <c r="H1731" s="73">
        <f t="shared" si="906"/>
        <v>0</v>
      </c>
      <c r="I1731" s="71"/>
      <c r="J1731" s="73">
        <v>-35000</v>
      </c>
      <c r="K1731" s="74"/>
      <c r="L1731" s="74">
        <f t="shared" si="907"/>
        <v>-35000</v>
      </c>
      <c r="M1731" s="74"/>
      <c r="N1731" s="74">
        <f t="shared" si="905"/>
        <v>-35000</v>
      </c>
      <c r="O1731" s="74"/>
      <c r="P1731" s="67">
        <v>0</v>
      </c>
      <c r="Q1731" s="49" t="s">
        <v>660</v>
      </c>
    </row>
    <row r="1732" spans="1:20" ht="14.1" customHeight="1" x14ac:dyDescent="0.2">
      <c r="A1732" s="290"/>
      <c r="B1732" s="69"/>
      <c r="C1732" s="72" t="s">
        <v>578</v>
      </c>
      <c r="D1732" s="102"/>
      <c r="E1732" s="71"/>
      <c r="F1732" s="73"/>
      <c r="G1732" s="73"/>
      <c r="H1732" s="73">
        <f t="shared" ref="H1732" si="911">+G1732+F1732</f>
        <v>0</v>
      </c>
      <c r="I1732" s="71"/>
      <c r="J1732" s="73">
        <v>-20000</v>
      </c>
      <c r="K1732" s="74"/>
      <c r="L1732" s="74">
        <f t="shared" ref="L1732" si="912">+K1732+J1732</f>
        <v>-20000</v>
      </c>
      <c r="M1732" s="92">
        <v>20000</v>
      </c>
      <c r="N1732" s="74">
        <f t="shared" si="905"/>
        <v>0</v>
      </c>
      <c r="O1732" s="74"/>
      <c r="P1732" s="67"/>
      <c r="Q1732" s="49" t="s">
        <v>718</v>
      </c>
    </row>
    <row r="1733" spans="1:20" ht="14.1" customHeight="1" x14ac:dyDescent="0.2">
      <c r="A1733" s="290"/>
      <c r="B1733" s="69"/>
      <c r="C1733" s="72" t="s">
        <v>656</v>
      </c>
      <c r="D1733" s="102"/>
      <c r="E1733" s="71"/>
      <c r="F1733" s="73"/>
      <c r="G1733" s="73"/>
      <c r="H1733" s="73"/>
      <c r="I1733" s="71"/>
      <c r="J1733" s="73"/>
      <c r="K1733" s="74"/>
      <c r="L1733" s="74"/>
      <c r="M1733" s="74"/>
      <c r="N1733" s="74">
        <f t="shared" si="905"/>
        <v>0</v>
      </c>
      <c r="O1733" s="74"/>
      <c r="P1733" s="67">
        <f>+N1733+M1733</f>
        <v>0</v>
      </c>
      <c r="Q1733" s="254">
        <v>-417600</v>
      </c>
      <c r="R1733" s="289"/>
      <c r="S1733" s="254" t="s">
        <v>655</v>
      </c>
      <c r="T1733" s="56" t="s">
        <v>725</v>
      </c>
    </row>
    <row r="1734" spans="1:20" ht="14.1" customHeight="1" x14ac:dyDescent="0.2">
      <c r="A1734" s="290"/>
      <c r="B1734" s="69"/>
      <c r="C1734" s="72" t="s">
        <v>661</v>
      </c>
      <c r="D1734" s="102"/>
      <c r="E1734" s="71"/>
      <c r="F1734" s="73"/>
      <c r="G1734" s="73"/>
      <c r="H1734" s="73"/>
      <c r="I1734" s="71"/>
      <c r="J1734" s="73"/>
      <c r="K1734" s="74"/>
      <c r="L1734" s="74"/>
      <c r="M1734" s="92">
        <v>-26404</v>
      </c>
      <c r="N1734" s="74">
        <f t="shared" si="905"/>
        <v>-26404</v>
      </c>
      <c r="O1734" s="74"/>
      <c r="P1734" s="67"/>
      <c r="Q1734" s="169" t="s">
        <v>655</v>
      </c>
      <c r="R1734" s="302"/>
    </row>
    <row r="1735" spans="1:20" ht="14.1" customHeight="1" x14ac:dyDescent="0.2">
      <c r="A1735" s="290"/>
      <c r="B1735" s="69"/>
      <c r="C1735" s="72" t="s">
        <v>715</v>
      </c>
      <c r="D1735" s="102"/>
      <c r="E1735" s="71"/>
      <c r="F1735" s="73"/>
      <c r="G1735" s="73"/>
      <c r="H1735" s="73"/>
      <c r="I1735" s="71"/>
      <c r="J1735" s="73"/>
      <c r="K1735" s="74"/>
      <c r="L1735" s="74"/>
      <c r="M1735" s="92">
        <v>-88555</v>
      </c>
      <c r="N1735" s="74">
        <f t="shared" ref="N1735:N1744" si="913">+M1735+L1735</f>
        <v>-88555</v>
      </c>
      <c r="O1735" s="74"/>
      <c r="P1735" s="67">
        <v>-53487</v>
      </c>
      <c r="Q1735" s="49" t="s">
        <v>738</v>
      </c>
      <c r="S1735" s="226" t="s">
        <v>1550</v>
      </c>
    </row>
    <row r="1736" spans="1:20" ht="14.1" customHeight="1" x14ac:dyDescent="0.2">
      <c r="A1736" s="290" t="s">
        <v>716</v>
      </c>
      <c r="B1736" s="69"/>
      <c r="C1736" s="72" t="s">
        <v>1340</v>
      </c>
      <c r="D1736" s="102"/>
      <c r="E1736" s="71"/>
      <c r="F1736" s="73"/>
      <c r="G1736" s="73"/>
      <c r="H1736" s="73"/>
      <c r="I1736" s="71"/>
      <c r="J1736" s="73"/>
      <c r="K1736" s="74"/>
      <c r="L1736" s="74"/>
      <c r="M1736" s="92">
        <v>-120000</v>
      </c>
      <c r="N1736" s="74">
        <f t="shared" si="913"/>
        <v>-120000</v>
      </c>
      <c r="O1736" s="74"/>
      <c r="P1736" s="67">
        <v>-120000</v>
      </c>
      <c r="Q1736" s="49" t="s">
        <v>738</v>
      </c>
    </row>
    <row r="1737" spans="1:20" ht="14.1" customHeight="1" x14ac:dyDescent="0.2">
      <c r="A1737" s="290"/>
      <c r="B1737" s="69"/>
      <c r="C1737" s="72" t="s">
        <v>734</v>
      </c>
      <c r="D1737" s="102"/>
      <c r="E1737" s="71"/>
      <c r="F1737" s="73"/>
      <c r="G1737" s="73"/>
      <c r="H1737" s="73"/>
      <c r="I1737" s="71"/>
      <c r="J1737" s="73"/>
      <c r="K1737" s="74"/>
      <c r="L1737" s="74"/>
      <c r="M1737" s="300">
        <v>-8177</v>
      </c>
      <c r="N1737" s="74">
        <f t="shared" si="913"/>
        <v>-8177</v>
      </c>
      <c r="O1737" s="74"/>
      <c r="P1737" s="67"/>
    </row>
    <row r="1738" spans="1:20" ht="14.1" customHeight="1" x14ac:dyDescent="0.2">
      <c r="A1738" s="290"/>
      <c r="B1738" s="69"/>
      <c r="C1738" s="72" t="s">
        <v>735</v>
      </c>
      <c r="D1738" s="102"/>
      <c r="E1738" s="71"/>
      <c r="F1738" s="73"/>
      <c r="G1738" s="73"/>
      <c r="H1738" s="73"/>
      <c r="I1738" s="71"/>
      <c r="J1738" s="73"/>
      <c r="K1738" s="74"/>
      <c r="L1738" s="74"/>
      <c r="M1738" s="300">
        <v>-3660</v>
      </c>
      <c r="N1738" s="74">
        <f t="shared" si="913"/>
        <v>-3660</v>
      </c>
      <c r="O1738" s="74"/>
      <c r="P1738" s="67"/>
    </row>
    <row r="1739" spans="1:20" ht="14.1" customHeight="1" x14ac:dyDescent="0.2">
      <c r="A1739" s="290"/>
      <c r="B1739" s="69"/>
      <c r="C1739" s="72" t="s">
        <v>1325</v>
      </c>
      <c r="D1739" s="102"/>
      <c r="E1739" s="71"/>
      <c r="F1739" s="73"/>
      <c r="G1739" s="73"/>
      <c r="H1739" s="73"/>
      <c r="I1739" s="71"/>
      <c r="J1739" s="73"/>
      <c r="K1739" s="74"/>
      <c r="L1739" s="74"/>
      <c r="M1739" s="74"/>
      <c r="N1739" s="74"/>
      <c r="O1739" s="74"/>
      <c r="P1739" s="67">
        <v>-50000</v>
      </c>
      <c r="Q1739" s="49" t="s">
        <v>1327</v>
      </c>
    </row>
    <row r="1740" spans="1:20" ht="14.1" customHeight="1" x14ac:dyDescent="0.2">
      <c r="A1740" s="290"/>
      <c r="B1740" s="69"/>
      <c r="C1740" s="72" t="s">
        <v>1326</v>
      </c>
      <c r="D1740" s="102"/>
      <c r="E1740" s="71"/>
      <c r="F1740" s="73"/>
      <c r="G1740" s="73"/>
      <c r="H1740" s="73"/>
      <c r="I1740" s="71"/>
      <c r="J1740" s="73"/>
      <c r="K1740" s="74"/>
      <c r="L1740" s="74"/>
      <c r="M1740" s="74"/>
      <c r="N1740" s="74"/>
      <c r="O1740" s="74"/>
      <c r="P1740" s="67">
        <v>-100000</v>
      </c>
      <c r="Q1740" s="49" t="s">
        <v>1327</v>
      </c>
    </row>
    <row r="1741" spans="1:20" ht="14.1" customHeight="1" x14ac:dyDescent="0.2">
      <c r="A1741" s="290"/>
      <c r="B1741" s="69"/>
      <c r="C1741" s="72" t="s">
        <v>1341</v>
      </c>
      <c r="D1741" s="102"/>
      <c r="E1741" s="71"/>
      <c r="F1741" s="73"/>
      <c r="G1741" s="73"/>
      <c r="H1741" s="73"/>
      <c r="I1741" s="71"/>
      <c r="J1741" s="73"/>
      <c r="K1741" s="74"/>
      <c r="L1741" s="74"/>
      <c r="M1741" s="74"/>
      <c r="N1741" s="74"/>
      <c r="O1741" s="74"/>
      <c r="P1741" s="67">
        <v>-150000</v>
      </c>
      <c r="Q1741" s="49" t="s">
        <v>1327</v>
      </c>
    </row>
    <row r="1742" spans="1:20" ht="14.1" customHeight="1" x14ac:dyDescent="0.2">
      <c r="A1742" s="290"/>
      <c r="B1742" s="69"/>
      <c r="C1742" s="72" t="s">
        <v>1546</v>
      </c>
      <c r="D1742" s="102"/>
      <c r="E1742" s="71"/>
      <c r="F1742" s="73"/>
      <c r="G1742" s="73"/>
      <c r="H1742" s="73"/>
      <c r="I1742" s="71"/>
      <c r="J1742" s="73"/>
      <c r="K1742" s="74"/>
      <c r="L1742" s="74"/>
      <c r="M1742" s="74"/>
      <c r="N1742" s="74"/>
      <c r="O1742" s="74"/>
      <c r="P1742" s="67">
        <v>-40000</v>
      </c>
    </row>
    <row r="1743" spans="1:20" ht="14.1" customHeight="1" x14ac:dyDescent="0.2">
      <c r="A1743" s="290"/>
      <c r="B1743" s="69"/>
      <c r="C1743" s="72" t="s">
        <v>1547</v>
      </c>
      <c r="D1743" s="102"/>
      <c r="E1743" s="71"/>
      <c r="F1743" s="73"/>
      <c r="G1743" s="73"/>
      <c r="H1743" s="73"/>
      <c r="I1743" s="71"/>
      <c r="J1743" s="73"/>
      <c r="K1743" s="74"/>
      <c r="L1743" s="74"/>
      <c r="M1743" s="74"/>
      <c r="N1743" s="74"/>
      <c r="O1743" s="74"/>
      <c r="P1743" s="67">
        <v>-25000</v>
      </c>
    </row>
    <row r="1744" spans="1:20" ht="14.1" customHeight="1" x14ac:dyDescent="0.2">
      <c r="A1744" s="290"/>
      <c r="B1744" s="69"/>
      <c r="C1744" s="72"/>
      <c r="D1744" s="102"/>
      <c r="E1744" s="71"/>
      <c r="F1744" s="73"/>
      <c r="G1744" s="73"/>
      <c r="H1744" s="73"/>
      <c r="I1744" s="71"/>
      <c r="J1744" s="73"/>
      <c r="K1744" s="74"/>
      <c r="L1744" s="74"/>
      <c r="M1744" s="74"/>
      <c r="N1744" s="74">
        <f t="shared" si="913"/>
        <v>0</v>
      </c>
      <c r="O1744" s="74"/>
      <c r="P1744" s="67">
        <f>+N1744+M1744</f>
        <v>0</v>
      </c>
    </row>
    <row r="1745" spans="1:21" s="53" customFormat="1" ht="14.1" customHeight="1" x14ac:dyDescent="0.2">
      <c r="A1745" s="303" t="s">
        <v>579</v>
      </c>
      <c r="B1745" s="304" t="s">
        <v>580</v>
      </c>
      <c r="C1745" s="148" t="s">
        <v>581</v>
      </c>
      <c r="D1745" s="149">
        <v>0</v>
      </c>
      <c r="E1745" s="151"/>
      <c r="F1745" s="152">
        <f>+E1745+D1745</f>
        <v>0</v>
      </c>
      <c r="G1745" s="152">
        <v>0</v>
      </c>
      <c r="H1745" s="152">
        <v>0</v>
      </c>
      <c r="I1745" s="305"/>
      <c r="J1745" s="152">
        <v>0</v>
      </c>
      <c r="K1745" s="137">
        <v>0</v>
      </c>
      <c r="L1745" s="137">
        <v>0</v>
      </c>
      <c r="M1745" s="137"/>
      <c r="N1745" s="137">
        <f>+L1745+M1745</f>
        <v>0</v>
      </c>
      <c r="O1745" s="137">
        <v>42</v>
      </c>
      <c r="P1745" s="137">
        <f>+M1745+N1745</f>
        <v>0</v>
      </c>
      <c r="Q1745" s="49"/>
      <c r="R1745" s="59"/>
    </row>
    <row r="1746" spans="1:21" ht="14.1" customHeight="1" x14ac:dyDescent="0.2">
      <c r="A1746" s="146" t="s">
        <v>582</v>
      </c>
      <c r="B1746" s="147">
        <v>65018</v>
      </c>
      <c r="C1746" s="147" t="s">
        <v>583</v>
      </c>
      <c r="D1746" s="149">
        <v>-98990</v>
      </c>
      <c r="E1746" s="151"/>
      <c r="F1746" s="152">
        <f>+E1746+D1746</f>
        <v>-98990</v>
      </c>
      <c r="G1746" s="152">
        <v>-4400</v>
      </c>
      <c r="H1746" s="152">
        <f>+G1746+F1746</f>
        <v>-103390</v>
      </c>
      <c r="I1746" s="151">
        <v>-84607</v>
      </c>
      <c r="J1746" s="152">
        <v>-98371</v>
      </c>
      <c r="K1746" s="137">
        <v>-10156</v>
      </c>
      <c r="L1746" s="137">
        <f>+K1746+J1746</f>
        <v>-108527</v>
      </c>
      <c r="M1746" s="137"/>
      <c r="N1746" s="137">
        <f t="shared" ref="N1746" si="914">+M1746+L1746</f>
        <v>-108527</v>
      </c>
      <c r="O1746" s="137">
        <v>-126278</v>
      </c>
      <c r="P1746" s="137">
        <v>-340000</v>
      </c>
      <c r="Q1746" s="210">
        <f t="shared" ref="Q1746:Q1751" si="915">P1746/L1746</f>
        <v>3.1328609470454358</v>
      </c>
      <c r="R1746" s="203" t="s">
        <v>1356</v>
      </c>
    </row>
    <row r="1747" spans="1:21" ht="14.1" customHeight="1" x14ac:dyDescent="0.2">
      <c r="A1747" s="79" t="s">
        <v>497</v>
      </c>
      <c r="B1747" s="80"/>
      <c r="C1747" s="287" t="s">
        <v>584</v>
      </c>
      <c r="D1747" s="82">
        <v>-6627965</v>
      </c>
      <c r="E1747" s="83">
        <f>+E1624+E1655+E1667+E1669+E1745+E1746</f>
        <v>706405</v>
      </c>
      <c r="F1747" s="85">
        <f>+E1747+D1747</f>
        <v>-5921560</v>
      </c>
      <c r="G1747" s="85">
        <f>+G1624+G1655+G1667+G1669+G1746</f>
        <v>782600</v>
      </c>
      <c r="H1747" s="85">
        <f>+H1624+H1655+H1667+H1669+H1746</f>
        <v>-5138960</v>
      </c>
      <c r="I1747" s="83">
        <f t="shared" ref="I1747:P1747" si="916">+I1624+I1655+I1667+I1669+I1745+I1746</f>
        <v>-1485216</v>
      </c>
      <c r="J1747" s="82">
        <f t="shared" si="916"/>
        <v>-9037801</v>
      </c>
      <c r="K1747" s="82">
        <f t="shared" si="916"/>
        <v>681536</v>
      </c>
      <c r="L1747" s="82">
        <f t="shared" si="916"/>
        <v>-8356265</v>
      </c>
      <c r="M1747" s="82">
        <f t="shared" si="916"/>
        <v>2923602</v>
      </c>
      <c r="N1747" s="82">
        <f t="shared" si="916"/>
        <v>-5432663</v>
      </c>
      <c r="O1747" s="82">
        <f t="shared" si="916"/>
        <v>-5196848</v>
      </c>
      <c r="P1747" s="83">
        <f t="shared" si="916"/>
        <v>-8052279</v>
      </c>
      <c r="Q1747" s="210"/>
      <c r="R1747" s="203"/>
    </row>
    <row r="1748" spans="1:21" ht="13.5" customHeight="1" x14ac:dyDescent="0.2">
      <c r="A1748" s="94"/>
      <c r="B1748" s="95"/>
      <c r="C1748" s="81" t="s">
        <v>585</v>
      </c>
      <c r="D1748" s="82">
        <v>-3198044</v>
      </c>
      <c r="E1748" s="83">
        <f>+E1619+E1747</f>
        <v>538164.6</v>
      </c>
      <c r="F1748" s="85">
        <f>+E1748+D1748</f>
        <v>-2659879.4</v>
      </c>
      <c r="G1748" s="85">
        <f t="shared" ref="G1748:P1748" si="917">+G1619+G1747</f>
        <v>191778</v>
      </c>
      <c r="H1748" s="85">
        <f t="shared" si="917"/>
        <v>-2340561.3999999985</v>
      </c>
      <c r="I1748" s="83">
        <f t="shared" si="917"/>
        <v>2294523.8599999994</v>
      </c>
      <c r="J1748" s="82">
        <f t="shared" si="917"/>
        <v>-6452143.8999999985</v>
      </c>
      <c r="K1748" s="82">
        <f t="shared" si="917"/>
        <v>1248719.3700000001</v>
      </c>
      <c r="L1748" s="82">
        <f t="shared" si="917"/>
        <v>-5027524.5300000012</v>
      </c>
      <c r="M1748" s="82">
        <f t="shared" si="917"/>
        <v>3142492</v>
      </c>
      <c r="N1748" s="82">
        <f t="shared" si="917"/>
        <v>-2012572.5300000012</v>
      </c>
      <c r="O1748" s="82">
        <f t="shared" si="917"/>
        <v>-1127760</v>
      </c>
      <c r="P1748" s="83">
        <f t="shared" si="917"/>
        <v>-5053858</v>
      </c>
      <c r="Q1748" s="210">
        <f t="shared" si="915"/>
        <v>1.0052378600726586</v>
      </c>
      <c r="R1748" s="203"/>
    </row>
    <row r="1749" spans="1:21" ht="14.1" customHeight="1" x14ac:dyDescent="0.2">
      <c r="A1749" s="306"/>
      <c r="B1749" s="307"/>
      <c r="C1749" s="307"/>
      <c r="D1749" s="43"/>
      <c r="E1749" s="71"/>
      <c r="F1749" s="172"/>
      <c r="G1749" s="172"/>
      <c r="H1749" s="172"/>
      <c r="I1749" s="71"/>
      <c r="J1749" s="73"/>
      <c r="K1749" s="74"/>
      <c r="L1749" s="74"/>
      <c r="M1749" s="74"/>
      <c r="N1749" s="74"/>
      <c r="O1749" s="74"/>
      <c r="P1749" s="67"/>
      <c r="Q1749" s="210"/>
      <c r="R1749" s="203"/>
    </row>
    <row r="1750" spans="1:21" ht="14.1" customHeight="1" x14ac:dyDescent="0.2">
      <c r="A1750" s="286" t="s">
        <v>586</v>
      </c>
      <c r="B1750" s="80"/>
      <c r="C1750" s="287" t="s">
        <v>587</v>
      </c>
      <c r="D1750" s="82"/>
      <c r="E1750" s="134"/>
      <c r="F1750" s="288"/>
      <c r="G1750" s="288"/>
      <c r="H1750" s="288"/>
      <c r="I1750" s="134"/>
      <c r="J1750" s="135"/>
      <c r="K1750" s="136"/>
      <c r="L1750" s="136"/>
      <c r="M1750" s="136"/>
      <c r="N1750" s="136"/>
      <c r="O1750" s="136"/>
      <c r="P1750" s="136"/>
      <c r="Q1750" s="210"/>
      <c r="R1750" s="203"/>
    </row>
    <row r="1751" spans="1:21" ht="14.1" customHeight="1" x14ac:dyDescent="0.2">
      <c r="A1751" s="308" t="s">
        <v>588</v>
      </c>
      <c r="B1751" s="309"/>
      <c r="C1751" s="260" t="s">
        <v>589</v>
      </c>
      <c r="D1751" s="102">
        <v>3500000</v>
      </c>
      <c r="E1751" s="71"/>
      <c r="F1751" s="73">
        <f>+E1751+D1751</f>
        <v>3500000</v>
      </c>
      <c r="G1751" s="73"/>
      <c r="H1751" s="73">
        <v>3500000</v>
      </c>
      <c r="I1751" s="71">
        <v>2000000</v>
      </c>
      <c r="J1751" s="73">
        <v>5000000</v>
      </c>
      <c r="K1751" s="136">
        <v>0</v>
      </c>
      <c r="L1751" s="74">
        <f>+K1751+J1751</f>
        <v>5000000</v>
      </c>
      <c r="M1751" s="74">
        <v>-3000000</v>
      </c>
      <c r="N1751" s="74">
        <f t="shared" ref="N1751" si="918">+M1751+L1751</f>
        <v>2000000</v>
      </c>
      <c r="O1751" s="74">
        <v>1300000</v>
      </c>
      <c r="P1751" s="67">
        <v>5500000</v>
      </c>
      <c r="Q1751" s="210">
        <f t="shared" si="915"/>
        <v>1.1000000000000001</v>
      </c>
      <c r="R1751" s="206" t="s">
        <v>1385</v>
      </c>
      <c r="U1751" s="56">
        <f>5500000-4800000</f>
        <v>700000</v>
      </c>
    </row>
    <row r="1752" spans="1:21" ht="14.1" customHeight="1" x14ac:dyDescent="0.2">
      <c r="A1752" s="194" t="s">
        <v>590</v>
      </c>
      <c r="B1752" s="90"/>
      <c r="C1752" s="72" t="s">
        <v>591</v>
      </c>
      <c r="D1752" s="102">
        <v>-1482447</v>
      </c>
      <c r="E1752" s="71"/>
      <c r="F1752" s="73">
        <f>+E1752+D1752</f>
        <v>-1482447</v>
      </c>
      <c r="G1752" s="73"/>
      <c r="H1752" s="73">
        <f>+G1752+F1752</f>
        <v>-1482447</v>
      </c>
      <c r="I1752" s="71">
        <v>-1276920</v>
      </c>
      <c r="J1752" s="73">
        <v>-1577593</v>
      </c>
      <c r="K1752" s="74">
        <v>2886</v>
      </c>
      <c r="L1752" s="74">
        <f>+K1752+J1752</f>
        <v>-1574707</v>
      </c>
      <c r="M1752" s="74"/>
      <c r="N1752" s="74">
        <f t="shared" ref="N1752" si="919">+M1752+L1752</f>
        <v>-1574707</v>
      </c>
      <c r="O1752" s="74">
        <v>-1325751</v>
      </c>
      <c r="P1752" s="67">
        <v>-1477909</v>
      </c>
      <c r="Q1752" s="210">
        <f>P1752/L1752</f>
        <v>0.93852951691965558</v>
      </c>
      <c r="R1752" s="203"/>
    </row>
    <row r="1753" spans="1:21" ht="14.1" customHeight="1" x14ac:dyDescent="0.2">
      <c r="A1753" s="79" t="s">
        <v>586</v>
      </c>
      <c r="B1753" s="80"/>
      <c r="C1753" s="287" t="s">
        <v>592</v>
      </c>
      <c r="D1753" s="82">
        <v>2017553</v>
      </c>
      <c r="E1753" s="83">
        <v>0</v>
      </c>
      <c r="F1753" s="85">
        <f>+F1751+F1752</f>
        <v>2017553</v>
      </c>
      <c r="G1753" s="85">
        <v>0</v>
      </c>
      <c r="H1753" s="85">
        <f>SUM(H1751:H1752)</f>
        <v>2017553</v>
      </c>
      <c r="I1753" s="83">
        <f>+I1752+I1751</f>
        <v>723080</v>
      </c>
      <c r="J1753" s="82">
        <f>+J1752+J1751</f>
        <v>3422407</v>
      </c>
      <c r="K1753" s="82">
        <f t="shared" ref="K1753" si="920">+K1752+K1751</f>
        <v>2886</v>
      </c>
      <c r="L1753" s="82">
        <f>+L1752+L1751</f>
        <v>3425293</v>
      </c>
      <c r="M1753" s="82">
        <f t="shared" ref="M1753:O1753" si="921">+M1752+M1751</f>
        <v>-3000000</v>
      </c>
      <c r="N1753" s="82">
        <f t="shared" si="921"/>
        <v>425293</v>
      </c>
      <c r="O1753" s="82">
        <f t="shared" si="921"/>
        <v>-25751</v>
      </c>
      <c r="P1753" s="82">
        <f t="shared" ref="P1753" si="922">+P1752+P1751</f>
        <v>4022091</v>
      </c>
    </row>
    <row r="1754" spans="1:21" ht="14.1" customHeight="1" thickBot="1" x14ac:dyDescent="0.25">
      <c r="A1754" s="310" t="s">
        <v>593</v>
      </c>
      <c r="B1754" s="311"/>
      <c r="C1754" s="312" t="s">
        <v>594</v>
      </c>
      <c r="D1754" s="43">
        <v>713068</v>
      </c>
      <c r="E1754" s="71">
        <v>300</v>
      </c>
      <c r="F1754" s="73">
        <v>713368</v>
      </c>
      <c r="G1754" s="73"/>
      <c r="H1754" s="73">
        <v>713368</v>
      </c>
      <c r="I1754" s="71"/>
      <c r="J1754" s="73">
        <v>-2980377</v>
      </c>
      <c r="K1754" s="74">
        <v>1408937</v>
      </c>
      <c r="L1754" s="74">
        <f>SUM(J1754:K1754)</f>
        <v>-1571440</v>
      </c>
      <c r="M1754" s="74"/>
      <c r="N1754" s="74">
        <f>SUM(L1754:M1754)</f>
        <v>-1571440</v>
      </c>
      <c r="O1754" s="74">
        <v>-810437</v>
      </c>
      <c r="P1754" s="67">
        <v>-1031767</v>
      </c>
    </row>
    <row r="1755" spans="1:21" ht="14.1" customHeight="1" thickTop="1" x14ac:dyDescent="0.2">
      <c r="A1755" s="313"/>
      <c r="B1755" s="314"/>
      <c r="C1755" s="56" t="s">
        <v>595</v>
      </c>
      <c r="D1755" s="43">
        <v>467423</v>
      </c>
      <c r="E1755" s="71"/>
      <c r="F1755" s="73">
        <v>-69542</v>
      </c>
      <c r="G1755" s="73"/>
      <c r="H1755" s="73"/>
      <c r="I1755" s="71"/>
      <c r="J1755" s="73"/>
      <c r="K1755" s="74"/>
      <c r="L1755" s="74"/>
      <c r="M1755" s="74"/>
      <c r="N1755" s="74"/>
      <c r="O1755" s="74">
        <v>289543</v>
      </c>
      <c r="P1755" s="67"/>
    </row>
    <row r="1756" spans="1:21" ht="14.1" customHeight="1" x14ac:dyDescent="0.25">
      <c r="A1756" s="315"/>
      <c r="B1756" s="316"/>
      <c r="C1756" s="317" t="s">
        <v>596</v>
      </c>
      <c r="D1756" s="43">
        <v>0</v>
      </c>
      <c r="E1756" s="71">
        <v>0</v>
      </c>
      <c r="F1756" s="73">
        <f>+F1748+F1753+F1754+F1755</f>
        <v>1499.6000000000931</v>
      </c>
      <c r="G1756" s="73"/>
      <c r="H1756" s="73">
        <f t="shared" ref="H1756" si="923">+H1748+H1753+H1754+H1755</f>
        <v>390359.60000000149</v>
      </c>
      <c r="I1756" s="71">
        <v>0</v>
      </c>
      <c r="J1756" s="73">
        <f t="shared" ref="J1756:O1756" si="924">+J1748+J1753-J1754</f>
        <v>-49359.89999999851</v>
      </c>
      <c r="K1756" s="73">
        <f t="shared" si="924"/>
        <v>-157331.62999999989</v>
      </c>
      <c r="L1756" s="74">
        <f t="shared" si="924"/>
        <v>-30791.530000001192</v>
      </c>
      <c r="M1756" s="74">
        <f t="shared" si="924"/>
        <v>142492</v>
      </c>
      <c r="N1756" s="74">
        <f t="shared" si="924"/>
        <v>-15839.530000001192</v>
      </c>
      <c r="O1756" s="74">
        <f t="shared" si="924"/>
        <v>-343074</v>
      </c>
      <c r="P1756" s="67">
        <f>+P1748+P1753-P1754</f>
        <v>0</v>
      </c>
    </row>
    <row r="1757" spans="1:21" ht="14.1" customHeight="1" x14ac:dyDescent="0.25">
      <c r="A1757" s="318"/>
      <c r="B1757" s="319"/>
    </row>
    <row r="1758" spans="1:21" ht="14.1" customHeight="1" x14ac:dyDescent="0.2">
      <c r="H1758" s="57"/>
    </row>
    <row r="1759" spans="1:21" ht="14.1" customHeight="1" x14ac:dyDescent="0.2">
      <c r="F1759" s="57"/>
      <c r="G1759" s="57"/>
      <c r="H1759" s="57"/>
    </row>
    <row r="1760" spans="1:21" ht="14.1" customHeight="1" x14ac:dyDescent="0.2">
      <c r="C1760" s="115"/>
      <c r="F1760" s="57"/>
      <c r="G1760" s="57"/>
      <c r="H1760" s="57"/>
      <c r="K1760" s="57" t="s">
        <v>611</v>
      </c>
    </row>
    <row r="1761" spans="1:18" ht="14.1" customHeight="1" x14ac:dyDescent="0.2">
      <c r="C1761" s="57"/>
    </row>
    <row r="1762" spans="1:18" ht="14.1" customHeight="1" x14ac:dyDescent="0.2">
      <c r="E1762" s="54"/>
      <c r="F1762" s="54"/>
      <c r="G1762" s="54"/>
      <c r="H1762" s="54"/>
      <c r="I1762" s="54"/>
    </row>
    <row r="1764" spans="1:18" s="53" customFormat="1" ht="14.1" customHeight="1" x14ac:dyDescent="0.2">
      <c r="A1764" s="306"/>
      <c r="B1764" s="307"/>
      <c r="C1764" s="320"/>
      <c r="D1764" s="54"/>
      <c r="E1764" s="55"/>
      <c r="F1764" s="57"/>
      <c r="G1764" s="57"/>
      <c r="H1764" s="57"/>
      <c r="I1764" s="54"/>
      <c r="J1764" s="115"/>
      <c r="K1764" s="115"/>
      <c r="L1764" s="115"/>
      <c r="M1764" s="115"/>
      <c r="N1764" s="115"/>
      <c r="O1764" s="115"/>
      <c r="P1764" s="58"/>
      <c r="Q1764" s="49"/>
      <c r="R1764" s="59"/>
    </row>
  </sheetData>
  <phoneticPr fontId="9" type="noConversion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ECF41-03F2-4A65-A8D4-F4018F1CC281}">
  <dimension ref="A2:AA949"/>
  <sheetViews>
    <sheetView topLeftCell="A32" workbookViewId="0">
      <selection activeCell="I10" sqref="I10"/>
    </sheetView>
  </sheetViews>
  <sheetFormatPr defaultRowHeight="12.75" x14ac:dyDescent="0.2"/>
  <cols>
    <col min="2" max="2" width="13.85546875" bestFit="1" customWidth="1"/>
    <col min="8" max="8" width="10.5703125" bestFit="1" customWidth="1"/>
    <col min="9" max="9" width="9.5703125" bestFit="1" customWidth="1"/>
    <col min="10" max="10" width="10.5703125" bestFit="1" customWidth="1"/>
  </cols>
  <sheetData>
    <row r="2" spans="1:6" x14ac:dyDescent="0.2">
      <c r="A2" s="20" t="s">
        <v>1456</v>
      </c>
      <c r="B2" s="19"/>
      <c r="C2" s="19"/>
      <c r="D2" s="19"/>
      <c r="E2" s="19"/>
      <c r="F2" s="19" t="s">
        <v>1462</v>
      </c>
    </row>
    <row r="3" spans="1:6" x14ac:dyDescent="0.2">
      <c r="A3" s="19" t="s">
        <v>1457</v>
      </c>
      <c r="B3" s="19"/>
      <c r="C3" s="19">
        <v>1749</v>
      </c>
      <c r="D3" s="19"/>
      <c r="E3" s="19"/>
      <c r="F3" s="19">
        <v>24</v>
      </c>
    </row>
    <row r="4" spans="1:6" x14ac:dyDescent="0.2">
      <c r="A4" s="19" t="s">
        <v>1459</v>
      </c>
      <c r="B4" s="19"/>
      <c r="C4" s="19">
        <v>1574</v>
      </c>
      <c r="D4" s="19" t="s">
        <v>1458</v>
      </c>
      <c r="E4" s="19"/>
      <c r="F4" s="19">
        <v>21</v>
      </c>
    </row>
    <row r="5" spans="1:6" x14ac:dyDescent="0.2">
      <c r="A5" s="19" t="s">
        <v>1460</v>
      </c>
      <c r="B5" s="19"/>
      <c r="C5" s="19">
        <v>1000</v>
      </c>
      <c r="D5" s="19"/>
      <c r="E5" s="19"/>
      <c r="F5" s="19">
        <v>16</v>
      </c>
    </row>
    <row r="6" spans="1:6" x14ac:dyDescent="0.2">
      <c r="A6" s="19" t="s">
        <v>1461</v>
      </c>
      <c r="B6" s="19"/>
      <c r="C6" s="19">
        <v>1060</v>
      </c>
      <c r="D6" s="19"/>
      <c r="E6" s="19"/>
      <c r="F6" s="19">
        <v>16</v>
      </c>
    </row>
    <row r="7" spans="1:6" x14ac:dyDescent="0.2">
      <c r="A7" s="19" t="s">
        <v>1463</v>
      </c>
      <c r="B7" s="19"/>
      <c r="C7" s="19" t="s">
        <v>1464</v>
      </c>
      <c r="D7" s="19" t="s">
        <v>1465</v>
      </c>
      <c r="E7" s="19"/>
      <c r="F7" s="19">
        <v>15</v>
      </c>
    </row>
    <row r="8" spans="1:6" x14ac:dyDescent="0.2">
      <c r="A8" s="19" t="s">
        <v>1466</v>
      </c>
      <c r="B8" s="19"/>
      <c r="C8" s="19" t="s">
        <v>1470</v>
      </c>
      <c r="D8" s="19"/>
      <c r="E8" s="19"/>
      <c r="F8" s="19">
        <v>15</v>
      </c>
    </row>
    <row r="9" spans="1:6" x14ac:dyDescent="0.2">
      <c r="A9" s="19" t="s">
        <v>1467</v>
      </c>
      <c r="B9" s="19"/>
      <c r="C9" s="19">
        <v>1050</v>
      </c>
      <c r="D9" s="19"/>
      <c r="E9" s="19"/>
      <c r="F9" s="19">
        <v>16</v>
      </c>
    </row>
    <row r="10" spans="1:6" x14ac:dyDescent="0.2">
      <c r="A10" s="19" t="s">
        <v>1468</v>
      </c>
      <c r="B10" s="19"/>
      <c r="C10" s="19">
        <v>930</v>
      </c>
      <c r="D10" s="19"/>
      <c r="E10" s="19"/>
      <c r="F10" s="19">
        <v>15</v>
      </c>
    </row>
    <row r="11" spans="1:6" x14ac:dyDescent="0.2">
      <c r="A11" s="19" t="s">
        <v>1469</v>
      </c>
      <c r="B11" s="19"/>
      <c r="C11" s="19" t="s">
        <v>1471</v>
      </c>
      <c r="D11" s="19"/>
      <c r="E11" s="19"/>
      <c r="F11" s="19">
        <v>15</v>
      </c>
    </row>
    <row r="12" spans="1:6" x14ac:dyDescent="0.2">
      <c r="A12" s="20" t="s">
        <v>1475</v>
      </c>
      <c r="B12" s="19"/>
      <c r="C12" s="19"/>
      <c r="D12" s="19"/>
      <c r="E12" s="19"/>
      <c r="F12" s="19"/>
    </row>
    <row r="13" spans="1:6" x14ac:dyDescent="0.2">
      <c r="A13" s="4" t="s">
        <v>1476</v>
      </c>
      <c r="B13" s="19"/>
      <c r="C13" s="19">
        <v>1749</v>
      </c>
      <c r="D13" s="19"/>
      <c r="E13" s="19"/>
      <c r="F13" s="19">
        <v>24</v>
      </c>
    </row>
    <row r="14" spans="1:6" x14ac:dyDescent="0.2">
      <c r="A14" s="4" t="s">
        <v>1477</v>
      </c>
      <c r="B14" s="19"/>
      <c r="C14" s="19">
        <v>1400</v>
      </c>
      <c r="D14" s="19"/>
      <c r="E14" s="19"/>
      <c r="F14" s="19">
        <v>15</v>
      </c>
    </row>
    <row r="15" spans="1:6" x14ac:dyDescent="0.2">
      <c r="A15" s="4" t="s">
        <v>1478</v>
      </c>
      <c r="B15" s="19"/>
      <c r="C15" s="19"/>
      <c r="D15" s="19"/>
      <c r="E15" s="19"/>
      <c r="F15" s="19">
        <v>15</v>
      </c>
    </row>
    <row r="16" spans="1:6" x14ac:dyDescent="0.2">
      <c r="A16" s="20" t="s">
        <v>1532</v>
      </c>
      <c r="B16" s="19"/>
      <c r="C16" s="19"/>
      <c r="D16" s="19"/>
      <c r="E16" s="19"/>
      <c r="F16" s="19"/>
    </row>
    <row r="17" spans="1:27" x14ac:dyDescent="0.2">
      <c r="A17" s="4" t="s">
        <v>1533</v>
      </c>
      <c r="B17" s="19"/>
      <c r="C17" s="19">
        <v>1432</v>
      </c>
      <c r="D17" s="19"/>
      <c r="E17" s="19"/>
      <c r="F17" s="19">
        <v>24</v>
      </c>
    </row>
    <row r="18" spans="1:27" x14ac:dyDescent="0.2">
      <c r="A18" s="4" t="s">
        <v>1537</v>
      </c>
      <c r="B18" s="19"/>
      <c r="C18" s="19">
        <v>1400</v>
      </c>
      <c r="D18" s="19"/>
      <c r="E18" s="19"/>
      <c r="F18" s="19">
        <v>37</v>
      </c>
    </row>
    <row r="19" spans="1:27" x14ac:dyDescent="0.2">
      <c r="A19" s="6"/>
    </row>
    <row r="20" spans="1:27" x14ac:dyDescent="0.2">
      <c r="A20" s="6"/>
    </row>
    <row r="22" spans="1:27" x14ac:dyDescent="0.2"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7" x14ac:dyDescent="0.2">
      <c r="A23" s="30" t="s">
        <v>1284</v>
      </c>
      <c r="B23" s="30" t="s">
        <v>1285</v>
      </c>
      <c r="C23" s="30" t="s">
        <v>1286</v>
      </c>
      <c r="D23" s="32" t="s">
        <v>1287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4"/>
      <c r="R23" s="34"/>
      <c r="S23" s="34"/>
      <c r="T23" s="35"/>
      <c r="U23" s="36"/>
      <c r="V23" s="30" t="s">
        <v>752</v>
      </c>
      <c r="W23" s="37" t="s">
        <v>1288</v>
      </c>
      <c r="X23" s="30" t="s">
        <v>1289</v>
      </c>
      <c r="Y23" s="39"/>
      <c r="Z23" s="39"/>
      <c r="AA23" s="39"/>
    </row>
    <row r="24" spans="1:27" s="11" customFormat="1" x14ac:dyDescent="0.2">
      <c r="A24" s="30"/>
      <c r="B24" s="30"/>
      <c r="C24" s="31"/>
      <c r="D24" s="32" t="s">
        <v>1290</v>
      </c>
      <c r="E24" s="33"/>
      <c r="F24" s="33"/>
      <c r="G24" s="33"/>
      <c r="H24" s="33"/>
      <c r="I24" s="33"/>
      <c r="J24" s="33"/>
      <c r="K24" s="41"/>
      <c r="L24" s="42"/>
      <c r="M24" s="30" t="s">
        <v>1291</v>
      </c>
      <c r="N24" s="30" t="s">
        <v>1292</v>
      </c>
      <c r="O24" s="30" t="s">
        <v>1293</v>
      </c>
      <c r="P24" s="30" t="s">
        <v>1294</v>
      </c>
      <c r="Q24" s="30" t="s">
        <v>1295</v>
      </c>
      <c r="R24" s="30" t="s">
        <v>1296</v>
      </c>
      <c r="S24" s="30" t="s">
        <v>1297</v>
      </c>
      <c r="T24" s="30" t="s">
        <v>1298</v>
      </c>
      <c r="U24" s="30" t="s">
        <v>1299</v>
      </c>
      <c r="V24" s="30"/>
      <c r="W24" s="38"/>
      <c r="X24" s="40"/>
      <c r="Y24" s="39"/>
      <c r="Z24" s="39"/>
      <c r="AA24" s="39"/>
    </row>
    <row r="25" spans="1:27" ht="90" x14ac:dyDescent="0.2">
      <c r="A25" s="30"/>
      <c r="B25" s="30"/>
      <c r="C25" s="31"/>
      <c r="D25" s="16" t="s">
        <v>1300</v>
      </c>
      <c r="E25" s="16" t="s">
        <v>1301</v>
      </c>
      <c r="F25" s="16" t="s">
        <v>1302</v>
      </c>
      <c r="G25" s="16" t="s">
        <v>1303</v>
      </c>
      <c r="H25" s="16" t="s">
        <v>1304</v>
      </c>
      <c r="I25" s="16" t="s">
        <v>1305</v>
      </c>
      <c r="J25" s="16" t="s">
        <v>1306</v>
      </c>
      <c r="K25" s="16" t="s">
        <v>1307</v>
      </c>
      <c r="L25" s="16" t="s">
        <v>1308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6" t="s">
        <v>1309</v>
      </c>
      <c r="X25" s="16" t="s">
        <v>1310</v>
      </c>
      <c r="Y25" s="16" t="s">
        <v>1296</v>
      </c>
      <c r="Z25" s="16" t="s">
        <v>1294</v>
      </c>
      <c r="AA25" s="16" t="s">
        <v>752</v>
      </c>
    </row>
    <row r="26" spans="1:27" x14ac:dyDescent="0.2">
      <c r="A26" s="12" t="s">
        <v>1282</v>
      </c>
      <c r="B26" s="13" t="s">
        <v>1283</v>
      </c>
      <c r="C26" s="14">
        <v>2571012</v>
      </c>
      <c r="D26" s="14">
        <f>SUM(E26:L26)</f>
        <v>3805355</v>
      </c>
      <c r="E26" s="18">
        <v>2914527</v>
      </c>
      <c r="F26" s="14">
        <v>324670</v>
      </c>
      <c r="G26" s="14">
        <v>123785</v>
      </c>
      <c r="H26" s="14">
        <v>15912</v>
      </c>
      <c r="I26" s="14">
        <v>75582</v>
      </c>
      <c r="J26" s="14">
        <v>232050</v>
      </c>
      <c r="K26" s="14">
        <v>108288</v>
      </c>
      <c r="L26" s="14">
        <v>10541</v>
      </c>
      <c r="M26" s="14">
        <v>180327</v>
      </c>
      <c r="N26" s="14">
        <v>146452</v>
      </c>
      <c r="O26" s="14">
        <v>24213</v>
      </c>
      <c r="P26" s="14">
        <v>226607</v>
      </c>
      <c r="Q26" s="14">
        <v>30271</v>
      </c>
      <c r="R26" s="14">
        <v>45448</v>
      </c>
      <c r="S26" s="14">
        <v>2725</v>
      </c>
      <c r="T26" s="14">
        <v>398748</v>
      </c>
      <c r="U26" s="14"/>
      <c r="V26" s="15">
        <v>7431158</v>
      </c>
      <c r="W26" s="14">
        <v>48712</v>
      </c>
      <c r="X26" s="14">
        <v>0</v>
      </c>
      <c r="Y26" s="14">
        <v>0</v>
      </c>
      <c r="Z26" s="14">
        <v>114218</v>
      </c>
      <c r="AA26" s="14">
        <v>114218</v>
      </c>
    </row>
    <row r="27" spans="1:27" x14ac:dyDescent="0.2">
      <c r="C27" s="6" t="s">
        <v>1317</v>
      </c>
      <c r="D27" s="17">
        <f>E27+F27</f>
        <v>525743</v>
      </c>
      <c r="E27" s="2">
        <f>E29-E28</f>
        <v>495003</v>
      </c>
      <c r="F27" s="2">
        <f t="shared" ref="F27:G27" si="0">F29-F28</f>
        <v>30740</v>
      </c>
      <c r="G27" s="2">
        <f t="shared" si="0"/>
        <v>238683</v>
      </c>
      <c r="L27" s="6" t="s">
        <v>1318</v>
      </c>
    </row>
    <row r="28" spans="1:27" x14ac:dyDescent="0.2">
      <c r="B28" s="10">
        <v>2022</v>
      </c>
      <c r="C28" s="10" t="s">
        <v>1311</v>
      </c>
      <c r="D28" s="17">
        <f>E28+F28</f>
        <v>3239197</v>
      </c>
      <c r="E28" s="17">
        <f>E26</f>
        <v>2914527</v>
      </c>
      <c r="F28" s="17">
        <f>F26</f>
        <v>324670</v>
      </c>
      <c r="G28" s="17">
        <f>G26</f>
        <v>123785</v>
      </c>
      <c r="H28" s="10"/>
    </row>
    <row r="29" spans="1:27" x14ac:dyDescent="0.2">
      <c r="D29" s="2"/>
      <c r="E29" s="2">
        <f>SUM(E30:E35)</f>
        <v>3409530</v>
      </c>
      <c r="F29" s="2">
        <f t="shared" ref="F29" si="1">SUM(F30:F35)</f>
        <v>355410</v>
      </c>
      <c r="G29" s="2">
        <f>SUM(G30:G35)</f>
        <v>362468</v>
      </c>
    </row>
    <row r="30" spans="1:27" x14ac:dyDescent="0.2">
      <c r="C30" t="s">
        <v>1312</v>
      </c>
      <c r="E30">
        <v>1342562</v>
      </c>
      <c r="G30">
        <v>87955</v>
      </c>
    </row>
    <row r="31" spans="1:27" x14ac:dyDescent="0.2">
      <c r="C31" t="s">
        <v>1313</v>
      </c>
      <c r="E31">
        <v>968059</v>
      </c>
      <c r="F31">
        <v>355410</v>
      </c>
      <c r="G31">
        <v>91808</v>
      </c>
    </row>
    <row r="32" spans="1:27" s="8" customFormat="1" x14ac:dyDescent="0.2">
      <c r="C32" s="6" t="s">
        <v>1314</v>
      </c>
      <c r="D32" s="6"/>
      <c r="E32" s="6">
        <v>519105</v>
      </c>
      <c r="F32" s="6"/>
      <c r="G32" s="6">
        <v>76748</v>
      </c>
      <c r="H32" s="6"/>
    </row>
    <row r="33" spans="1:17" x14ac:dyDescent="0.2">
      <c r="B33" s="2"/>
      <c r="C33" s="2" t="s">
        <v>1315</v>
      </c>
      <c r="D33" s="2"/>
      <c r="E33" s="2">
        <v>321559</v>
      </c>
      <c r="F33" s="2"/>
      <c r="G33" s="2">
        <v>55787</v>
      </c>
      <c r="H33" s="2"/>
      <c r="I33" s="2"/>
      <c r="J33" s="2"/>
      <c r="K33" s="2"/>
    </row>
    <row r="34" spans="1:17" x14ac:dyDescent="0.2">
      <c r="B34" s="2"/>
      <c r="C34" s="2" t="s">
        <v>1316</v>
      </c>
      <c r="D34" s="2"/>
      <c r="E34" s="2">
        <v>258245</v>
      </c>
      <c r="F34" s="2"/>
      <c r="G34" s="2">
        <v>50170</v>
      </c>
      <c r="H34" s="2"/>
      <c r="I34" s="2"/>
      <c r="J34" s="2"/>
      <c r="K34" s="2"/>
    </row>
    <row r="35" spans="1:17" x14ac:dyDescent="0.2">
      <c r="A35" s="21" t="s">
        <v>1513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7" x14ac:dyDescent="0.2">
      <c r="A36" s="23">
        <v>2192</v>
      </c>
      <c r="B36" s="14" t="s">
        <v>1479</v>
      </c>
      <c r="C36" s="9"/>
      <c r="D36" s="9"/>
      <c r="E36" s="9"/>
      <c r="F36" s="9"/>
      <c r="G36" s="9"/>
      <c r="H36" s="9"/>
      <c r="I36" s="9" t="s">
        <v>1480</v>
      </c>
      <c r="J36" s="9"/>
      <c r="K36" s="9" t="s">
        <v>1481</v>
      </c>
      <c r="L36" s="22" t="s">
        <v>1482</v>
      </c>
      <c r="M36" s="22" t="s">
        <v>1483</v>
      </c>
      <c r="N36" s="22" t="s">
        <v>1484</v>
      </c>
      <c r="O36" s="22"/>
      <c r="P36" s="22"/>
      <c r="Q36" s="19"/>
    </row>
    <row r="37" spans="1:17" x14ac:dyDescent="0.2">
      <c r="A37" s="22"/>
      <c r="C37" s="9"/>
      <c r="D37" s="9"/>
      <c r="E37" s="9"/>
      <c r="F37" s="9"/>
      <c r="G37" s="9"/>
      <c r="H37" s="9"/>
      <c r="I37" s="9"/>
      <c r="J37" s="9"/>
      <c r="K37" s="9"/>
      <c r="L37" s="22"/>
      <c r="M37" s="22"/>
      <c r="N37" s="22"/>
      <c r="O37" s="22"/>
      <c r="P37" s="22"/>
      <c r="Q37" s="19"/>
    </row>
    <row r="38" spans="1:17" s="8" customFormat="1" x14ac:dyDescent="0.2">
      <c r="A38" s="24"/>
      <c r="B38" s="25"/>
      <c r="C38" s="25" t="s">
        <v>1491</v>
      </c>
      <c r="D38" s="24"/>
      <c r="E38" s="26"/>
      <c r="F38" s="26"/>
      <c r="G38" s="25"/>
      <c r="H38" s="29"/>
      <c r="I38" s="29"/>
      <c r="J38" s="29"/>
      <c r="K38" s="9"/>
      <c r="L38" s="22"/>
      <c r="M38" s="22"/>
      <c r="N38" s="22"/>
      <c r="O38" s="22"/>
      <c r="P38" s="24"/>
      <c r="Q38" s="5"/>
    </row>
    <row r="39" spans="1:17" ht="56.25" x14ac:dyDescent="0.2">
      <c r="A39" s="22"/>
      <c r="B39" s="9" t="s">
        <v>1485</v>
      </c>
      <c r="C39" s="27" t="s">
        <v>1495</v>
      </c>
      <c r="D39" s="27" t="s">
        <v>1496</v>
      </c>
      <c r="E39" s="28" t="s">
        <v>1497</v>
      </c>
      <c r="F39" s="28" t="s">
        <v>1498</v>
      </c>
      <c r="G39" s="9"/>
      <c r="H39" s="29" t="s">
        <v>1492</v>
      </c>
      <c r="I39" s="29" t="s">
        <v>1493</v>
      </c>
      <c r="J39" s="29" t="s">
        <v>1494</v>
      </c>
      <c r="K39" s="28" t="s">
        <v>1486</v>
      </c>
      <c r="L39" s="27" t="s">
        <v>1487</v>
      </c>
      <c r="M39" s="27" t="s">
        <v>1488</v>
      </c>
      <c r="N39" s="27" t="s">
        <v>1489</v>
      </c>
      <c r="O39" s="27" t="s">
        <v>1490</v>
      </c>
      <c r="P39" s="22"/>
      <c r="Q39" s="19"/>
    </row>
    <row r="40" spans="1:17" x14ac:dyDescent="0.2">
      <c r="A40" s="22" t="s">
        <v>1283</v>
      </c>
      <c r="B40" s="14">
        <v>1388</v>
      </c>
      <c r="C40" s="22">
        <v>3612086</v>
      </c>
      <c r="D40" s="22">
        <v>241120</v>
      </c>
      <c r="E40" s="22">
        <v>87680</v>
      </c>
      <c r="F40" s="22">
        <v>376038</v>
      </c>
      <c r="G40" s="22"/>
      <c r="H40" s="9">
        <v>4316924</v>
      </c>
      <c r="I40" s="9">
        <v>127696</v>
      </c>
      <c r="J40" s="25">
        <v>4444620</v>
      </c>
      <c r="K40" s="22">
        <v>16656</v>
      </c>
      <c r="L40" s="22">
        <v>79116</v>
      </c>
      <c r="M40" s="22">
        <v>242725</v>
      </c>
      <c r="N40" s="22">
        <v>16181</v>
      </c>
      <c r="O40" s="22">
        <v>4799298</v>
      </c>
      <c r="P40" s="22"/>
      <c r="Q40" s="19"/>
    </row>
    <row r="41" spans="1:17" x14ac:dyDescent="0.2">
      <c r="A41" s="22" t="s">
        <v>1499</v>
      </c>
      <c r="B41" s="9">
        <v>146</v>
      </c>
      <c r="C41" s="22"/>
      <c r="D41" s="22"/>
      <c r="E41" s="22"/>
      <c r="F41" s="22">
        <v>376038</v>
      </c>
      <c r="G41" s="22"/>
      <c r="H41" s="14">
        <v>376038</v>
      </c>
      <c r="I41" s="9">
        <v>13432</v>
      </c>
      <c r="J41" s="25">
        <v>389470</v>
      </c>
      <c r="K41" s="22">
        <v>1752</v>
      </c>
      <c r="L41" s="22">
        <v>8322</v>
      </c>
      <c r="M41" s="22">
        <v>25550</v>
      </c>
      <c r="N41" s="22"/>
      <c r="O41" s="22">
        <v>425094</v>
      </c>
      <c r="P41" s="22"/>
      <c r="Q41" s="19"/>
    </row>
    <row r="42" spans="1:17" x14ac:dyDescent="0.2">
      <c r="A42" s="22" t="s">
        <v>1500</v>
      </c>
      <c r="B42" s="9">
        <v>369</v>
      </c>
      <c r="C42" s="22">
        <v>1027229</v>
      </c>
      <c r="D42" s="22">
        <v>92064</v>
      </c>
      <c r="E42" s="22">
        <v>26304</v>
      </c>
      <c r="F42" s="22"/>
      <c r="G42" s="22"/>
      <c r="H42" s="14">
        <v>1145597</v>
      </c>
      <c r="I42" s="9">
        <v>33948</v>
      </c>
      <c r="J42" s="25">
        <v>1179545</v>
      </c>
      <c r="K42" s="22">
        <v>4428</v>
      </c>
      <c r="L42" s="22">
        <v>21033</v>
      </c>
      <c r="M42" s="22">
        <v>64575</v>
      </c>
      <c r="N42" s="22">
        <v>4797</v>
      </c>
      <c r="O42" s="22">
        <v>1274378</v>
      </c>
      <c r="P42" s="22"/>
      <c r="Q42" s="19"/>
    </row>
    <row r="43" spans="1:17" x14ac:dyDescent="0.2">
      <c r="A43" s="22" t="s">
        <v>1501</v>
      </c>
      <c r="B43" s="9">
        <v>597</v>
      </c>
      <c r="C43" s="22">
        <v>1506537</v>
      </c>
      <c r="D43" s="22">
        <v>43840</v>
      </c>
      <c r="E43" s="9">
        <v>17536</v>
      </c>
      <c r="F43" s="9"/>
      <c r="G43" s="22"/>
      <c r="H43" s="14">
        <v>1567913</v>
      </c>
      <c r="I43" s="9">
        <v>55016</v>
      </c>
      <c r="J43" s="25">
        <v>1622929</v>
      </c>
      <c r="K43" s="22">
        <v>7176</v>
      </c>
      <c r="L43" s="22">
        <v>34086</v>
      </c>
      <c r="M43" s="22">
        <v>104475</v>
      </c>
      <c r="N43" s="22">
        <v>7774</v>
      </c>
      <c r="O43" s="22">
        <v>1776440</v>
      </c>
      <c r="P43" s="22"/>
      <c r="Q43" s="19"/>
    </row>
    <row r="44" spans="1:17" x14ac:dyDescent="0.2">
      <c r="A44" s="22" t="s">
        <v>1502</v>
      </c>
      <c r="B44" s="22">
        <v>154</v>
      </c>
      <c r="C44" s="22">
        <v>523148</v>
      </c>
      <c r="D44" s="22">
        <v>35072</v>
      </c>
      <c r="E44" s="22">
        <v>8768</v>
      </c>
      <c r="F44" s="22"/>
      <c r="G44" s="22"/>
      <c r="H44" s="14">
        <v>566988</v>
      </c>
      <c r="I44" s="9">
        <v>14168</v>
      </c>
      <c r="J44" s="25">
        <v>581156</v>
      </c>
      <c r="K44" s="22">
        <v>1848</v>
      </c>
      <c r="L44" s="22">
        <v>8778</v>
      </c>
      <c r="M44" s="22">
        <v>26950</v>
      </c>
      <c r="N44" s="22">
        <v>2002</v>
      </c>
      <c r="O44" s="22">
        <v>620734</v>
      </c>
      <c r="P44" s="22"/>
      <c r="Q44" s="19"/>
    </row>
    <row r="45" spans="1:17" x14ac:dyDescent="0.2">
      <c r="A45" s="22" t="s">
        <v>1503</v>
      </c>
      <c r="B45" s="9">
        <v>48</v>
      </c>
      <c r="C45" s="22">
        <v>283461</v>
      </c>
      <c r="D45" s="22">
        <v>8768</v>
      </c>
      <c r="E45" s="22">
        <v>0</v>
      </c>
      <c r="F45" s="22"/>
      <c r="G45" s="22"/>
      <c r="H45" s="14">
        <v>292229</v>
      </c>
      <c r="I45" s="9">
        <v>4416</v>
      </c>
      <c r="J45" s="25">
        <v>296645</v>
      </c>
      <c r="K45" s="22">
        <v>576</v>
      </c>
      <c r="L45" s="22">
        <v>2736</v>
      </c>
      <c r="M45" s="22">
        <v>8400</v>
      </c>
      <c r="N45" s="22">
        <v>659</v>
      </c>
      <c r="O45" s="22">
        <v>309016</v>
      </c>
      <c r="P45" s="22"/>
      <c r="Q45" s="19"/>
    </row>
    <row r="46" spans="1:17" x14ac:dyDescent="0.2">
      <c r="A46" s="22" t="s">
        <v>1504</v>
      </c>
      <c r="B46" s="22">
        <v>73</v>
      </c>
      <c r="C46" s="22">
        <v>271711</v>
      </c>
      <c r="D46" s="22">
        <v>61376</v>
      </c>
      <c r="E46" s="22">
        <v>35072</v>
      </c>
      <c r="F46" s="22"/>
      <c r="G46" s="22"/>
      <c r="H46" s="14">
        <v>368159</v>
      </c>
      <c r="I46" s="9">
        <v>6716</v>
      </c>
      <c r="J46" s="25">
        <v>374875</v>
      </c>
      <c r="K46" s="22">
        <v>876</v>
      </c>
      <c r="L46" s="22">
        <v>4161</v>
      </c>
      <c r="M46" s="22">
        <v>12775</v>
      </c>
      <c r="N46" s="22">
        <v>949</v>
      </c>
      <c r="O46" s="22">
        <v>393636</v>
      </c>
      <c r="P46" s="22"/>
      <c r="Q46" s="19"/>
    </row>
    <row r="47" spans="1:17" x14ac:dyDescent="0.2">
      <c r="A47" s="22"/>
      <c r="B47" s="9">
        <v>1387</v>
      </c>
      <c r="C47" s="22">
        <v>3612086</v>
      </c>
      <c r="D47" s="22">
        <v>241120</v>
      </c>
      <c r="E47" s="22">
        <v>87680</v>
      </c>
      <c r="F47" s="22">
        <v>376038</v>
      </c>
      <c r="G47" s="22">
        <v>0</v>
      </c>
      <c r="H47" s="9">
        <v>4316924</v>
      </c>
      <c r="I47" s="9">
        <v>127696</v>
      </c>
      <c r="J47" s="25">
        <v>4444620</v>
      </c>
      <c r="K47" s="22">
        <v>16656</v>
      </c>
      <c r="L47" s="22">
        <v>79116</v>
      </c>
      <c r="M47" s="22">
        <v>242725</v>
      </c>
      <c r="N47" s="22">
        <v>16181</v>
      </c>
      <c r="O47" s="22">
        <v>4799298</v>
      </c>
      <c r="P47" s="22"/>
      <c r="Q47" s="19"/>
    </row>
    <row r="48" spans="1:17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 t="s">
        <v>1505</v>
      </c>
      <c r="O48" s="22"/>
      <c r="P48" s="22"/>
      <c r="Q48" s="19"/>
    </row>
    <row r="49" spans="1:17" x14ac:dyDescent="0.2">
      <c r="A49" s="22" t="s">
        <v>1506</v>
      </c>
      <c r="B49" s="9">
        <v>1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/>
      <c r="Q49" s="19"/>
    </row>
    <row r="50" spans="1:17" x14ac:dyDescent="0.2">
      <c r="A50" s="22"/>
      <c r="B50" s="9" t="s">
        <v>1507</v>
      </c>
      <c r="C50" s="22"/>
      <c r="D50" s="22"/>
      <c r="E50" s="22"/>
      <c r="F50" s="22">
        <v>358436</v>
      </c>
      <c r="G50" s="22" t="s">
        <v>1508</v>
      </c>
      <c r="H50" s="22"/>
      <c r="I50" s="22"/>
      <c r="J50" s="22"/>
      <c r="K50" s="22"/>
      <c r="L50" s="22"/>
      <c r="M50" s="22"/>
      <c r="N50" s="22"/>
      <c r="O50" s="22"/>
      <c r="P50" s="22"/>
      <c r="Q50" s="19"/>
    </row>
    <row r="51" spans="1:17" x14ac:dyDescent="0.2">
      <c r="A51" s="22"/>
      <c r="B51" s="22" t="s">
        <v>1509</v>
      </c>
      <c r="C51" s="22"/>
      <c r="D51" s="22"/>
      <c r="E51" s="22"/>
      <c r="F51" s="22">
        <v>17602</v>
      </c>
      <c r="G51" s="22" t="s">
        <v>1510</v>
      </c>
      <c r="H51" s="22"/>
      <c r="I51" s="22"/>
      <c r="J51" s="22"/>
      <c r="K51" s="22"/>
      <c r="L51" s="22"/>
      <c r="M51" s="22"/>
      <c r="N51" s="22"/>
      <c r="O51" s="22"/>
      <c r="P51" s="22"/>
      <c r="Q51" s="19"/>
    </row>
    <row r="52" spans="1:17" x14ac:dyDescent="0.2">
      <c r="A52" s="22"/>
      <c r="B52" s="22" t="s">
        <v>1511</v>
      </c>
      <c r="C52" s="22"/>
      <c r="D52" s="22"/>
      <c r="E52" s="22"/>
      <c r="F52" s="22"/>
      <c r="G52" s="22"/>
      <c r="H52" s="22"/>
      <c r="I52" s="22"/>
      <c r="J52" s="22"/>
      <c r="K52" s="22">
        <v>5504</v>
      </c>
      <c r="L52" s="22">
        <v>5524</v>
      </c>
      <c r="M52" s="22">
        <v>5521</v>
      </c>
      <c r="N52" s="22">
        <v>5525</v>
      </c>
      <c r="O52" s="22" t="s">
        <v>1512</v>
      </c>
      <c r="P52" s="22"/>
      <c r="Q52" s="19"/>
    </row>
    <row r="377" spans="1:5" ht="14.25" x14ac:dyDescent="0.2">
      <c r="A377" s="3"/>
      <c r="B377" s="1"/>
      <c r="C377" s="1"/>
      <c r="D377" s="1"/>
      <c r="E377" s="1"/>
    </row>
    <row r="428" spans="3:3" x14ac:dyDescent="0.2">
      <c r="C428" s="1"/>
    </row>
    <row r="488" spans="1:5" ht="14.25" x14ac:dyDescent="0.2">
      <c r="A488" s="3"/>
      <c r="B488" s="1"/>
      <c r="C488" s="1"/>
      <c r="D488" s="1"/>
      <c r="E488" s="1"/>
    </row>
    <row r="540" spans="1:5" ht="14.25" x14ac:dyDescent="0.2">
      <c r="A540" s="3"/>
      <c r="B540" s="1"/>
      <c r="C540" s="1"/>
      <c r="D540" s="1"/>
      <c r="E540" s="1"/>
    </row>
    <row r="584" spans="1:5" ht="14.25" x14ac:dyDescent="0.2">
      <c r="A584" s="3"/>
      <c r="B584" s="1"/>
      <c r="C584" s="1"/>
      <c r="D584" s="1"/>
      <c r="E584" s="1"/>
    </row>
    <row r="585" spans="1:5" ht="14.25" x14ac:dyDescent="0.2">
      <c r="A585" s="3"/>
      <c r="B585" s="1"/>
      <c r="C585" s="1"/>
      <c r="D585" s="1"/>
      <c r="E585" s="1"/>
    </row>
    <row r="586" spans="1:5" ht="14.25" x14ac:dyDescent="0.2">
      <c r="A586" s="3"/>
      <c r="B586" s="1"/>
      <c r="C586" s="1"/>
      <c r="D586" s="1"/>
      <c r="E586" s="1"/>
    </row>
    <row r="587" spans="1:5" ht="14.25" x14ac:dyDescent="0.2">
      <c r="A587" s="3"/>
      <c r="B587" s="1"/>
      <c r="C587" s="1"/>
      <c r="D587" s="1"/>
      <c r="E587" s="1"/>
    </row>
    <row r="588" spans="1:5" ht="14.25" x14ac:dyDescent="0.2">
      <c r="A588" s="3"/>
      <c r="B588" s="1"/>
      <c r="C588" s="1"/>
      <c r="D588" s="1"/>
      <c r="E588" s="1"/>
    </row>
    <row r="589" spans="1:5" ht="14.25" x14ac:dyDescent="0.2">
      <c r="A589" s="3"/>
      <c r="B589" s="1"/>
      <c r="C589" s="1"/>
      <c r="D589" s="1"/>
      <c r="E589" s="1"/>
    </row>
    <row r="590" spans="1:5" ht="14.25" x14ac:dyDescent="0.2">
      <c r="A590" s="3"/>
      <c r="B590" s="1"/>
      <c r="C590" s="1"/>
      <c r="D590" s="1"/>
      <c r="E590" s="1"/>
    </row>
    <row r="591" spans="1:5" ht="14.25" x14ac:dyDescent="0.2">
      <c r="A591" s="3"/>
      <c r="B591" s="1"/>
      <c r="C591" s="1"/>
      <c r="D591" s="1"/>
      <c r="E591" s="1"/>
    </row>
    <row r="592" spans="1:5" ht="14.25" x14ac:dyDescent="0.2">
      <c r="A592" s="3"/>
      <c r="B592" s="1"/>
      <c r="C592" s="1"/>
      <c r="D592" s="1"/>
      <c r="E592" s="1"/>
    </row>
    <row r="593" spans="1:5" ht="14.25" x14ac:dyDescent="0.2">
      <c r="A593" s="3"/>
      <c r="B593" s="1"/>
      <c r="C593" s="1"/>
      <c r="D593" s="1"/>
      <c r="E593" s="1"/>
    </row>
    <row r="594" spans="1:5" ht="14.25" x14ac:dyDescent="0.2">
      <c r="A594" s="3"/>
      <c r="B594" s="1"/>
      <c r="C594" s="1"/>
      <c r="D594" s="1"/>
      <c r="E594" s="1"/>
    </row>
    <row r="595" spans="1:5" ht="14.25" x14ac:dyDescent="0.2">
      <c r="A595" s="3"/>
      <c r="B595" s="1"/>
      <c r="C595" s="1"/>
      <c r="D595" s="1"/>
      <c r="E595" s="1"/>
    </row>
    <row r="596" spans="1:5" ht="14.25" x14ac:dyDescent="0.2">
      <c r="A596" s="3"/>
      <c r="B596" s="1"/>
      <c r="C596" s="1"/>
      <c r="D596" s="1"/>
      <c r="E596" s="1"/>
    </row>
    <row r="597" spans="1:5" ht="14.25" x14ac:dyDescent="0.2">
      <c r="A597" s="3"/>
      <c r="B597" s="1"/>
      <c r="C597" s="1"/>
      <c r="D597" s="1"/>
      <c r="E597" s="1"/>
    </row>
    <row r="598" spans="1:5" ht="14.25" x14ac:dyDescent="0.2">
      <c r="A598" s="3"/>
      <c r="B598" s="1"/>
      <c r="C598" s="1"/>
      <c r="D598" s="1"/>
      <c r="E598" s="1"/>
    </row>
    <row r="599" spans="1:5" ht="14.25" x14ac:dyDescent="0.2">
      <c r="A599" s="3"/>
      <c r="B599" s="1"/>
      <c r="C599" s="1"/>
      <c r="D599" s="1"/>
      <c r="E599" s="1"/>
    </row>
    <row r="600" spans="1:5" ht="14.25" x14ac:dyDescent="0.2">
      <c r="A600" s="3"/>
      <c r="B600" s="1"/>
      <c r="C600" s="1"/>
      <c r="D600" s="1"/>
      <c r="E600" s="1"/>
    </row>
    <row r="601" spans="1:5" ht="14.25" x14ac:dyDescent="0.2">
      <c r="A601" s="3"/>
      <c r="B601" s="1"/>
      <c r="C601" s="1"/>
      <c r="D601" s="1"/>
      <c r="E601" s="1"/>
    </row>
    <row r="602" spans="1:5" ht="14.25" x14ac:dyDescent="0.2">
      <c r="A602" s="3"/>
      <c r="B602" s="1"/>
      <c r="C602" s="1"/>
      <c r="D602" s="1"/>
      <c r="E602" s="1"/>
    </row>
    <row r="603" spans="1:5" ht="14.25" x14ac:dyDescent="0.2">
      <c r="A603" s="3"/>
      <c r="B603" s="1"/>
      <c r="C603" s="1"/>
      <c r="D603" s="1"/>
      <c r="E603" s="1"/>
    </row>
    <row r="604" spans="1:5" ht="14.25" x14ac:dyDescent="0.2">
      <c r="A604" s="3"/>
      <c r="B604" s="1"/>
      <c r="C604" s="1"/>
      <c r="D604" s="1"/>
      <c r="E604" s="1"/>
    </row>
    <row r="605" spans="1:5" ht="14.25" x14ac:dyDescent="0.2">
      <c r="A605" s="3"/>
      <c r="B605" s="1"/>
      <c r="C605" s="1"/>
      <c r="D605" s="1"/>
      <c r="E605" s="1"/>
    </row>
    <row r="606" spans="1:5" ht="14.25" x14ac:dyDescent="0.2">
      <c r="A606" s="3"/>
      <c r="B606" s="1"/>
      <c r="C606" s="1"/>
      <c r="D606" s="1"/>
      <c r="E606" s="1"/>
    </row>
    <row r="607" spans="1:5" ht="14.25" x14ac:dyDescent="0.2">
      <c r="A607" s="3"/>
      <c r="B607" s="1"/>
      <c r="C607" s="1"/>
      <c r="D607" s="1"/>
      <c r="E607" s="1"/>
    </row>
    <row r="608" spans="1:5" ht="14.25" x14ac:dyDescent="0.2">
      <c r="A608" s="3"/>
      <c r="B608" s="1"/>
      <c r="C608" s="1"/>
      <c r="D608" s="1"/>
      <c r="E608" s="1"/>
    </row>
    <row r="609" spans="1:5" ht="14.25" x14ac:dyDescent="0.2">
      <c r="A609" s="3"/>
      <c r="B609" s="1"/>
      <c r="C609" s="1"/>
      <c r="D609" s="1"/>
      <c r="E609" s="1"/>
    </row>
    <row r="610" spans="1:5" ht="14.25" x14ac:dyDescent="0.2">
      <c r="A610" s="3"/>
      <c r="B610" s="1"/>
      <c r="C610" s="1"/>
      <c r="D610" s="1"/>
      <c r="E610" s="1"/>
    </row>
    <row r="611" spans="1:5" ht="14.25" x14ac:dyDescent="0.2">
      <c r="A611" s="3"/>
      <c r="B611" s="1"/>
      <c r="C611" s="1"/>
      <c r="D611" s="1"/>
      <c r="E611" s="1"/>
    </row>
    <row r="612" spans="1:5" ht="14.25" x14ac:dyDescent="0.2">
      <c r="A612" s="3"/>
      <c r="B612" s="1"/>
      <c r="C612" s="1"/>
      <c r="D612" s="1"/>
      <c r="E612" s="1"/>
    </row>
    <row r="613" spans="1:5" ht="14.25" x14ac:dyDescent="0.2">
      <c r="A613" s="3"/>
      <c r="B613" s="1"/>
      <c r="C613" s="1"/>
      <c r="D613" s="1"/>
      <c r="E613" s="1"/>
    </row>
    <row r="614" spans="1:5" ht="14.25" x14ac:dyDescent="0.2">
      <c r="A614" s="3"/>
      <c r="B614" s="1"/>
      <c r="C614" s="1"/>
      <c r="D614" s="1"/>
      <c r="E614" s="1"/>
    </row>
    <row r="615" spans="1:5" ht="14.25" x14ac:dyDescent="0.2">
      <c r="A615" s="3"/>
      <c r="B615" s="1"/>
      <c r="C615" s="1"/>
      <c r="D615" s="1"/>
      <c r="E615" s="1"/>
    </row>
    <row r="616" spans="1:5" ht="14.25" x14ac:dyDescent="0.2">
      <c r="A616" s="3"/>
      <c r="B616" s="1"/>
      <c r="C616" s="1"/>
      <c r="D616" s="1"/>
      <c r="E616" s="1"/>
    </row>
    <row r="617" spans="1:5" ht="14.25" x14ac:dyDescent="0.2">
      <c r="A617" s="3"/>
      <c r="B617" s="1"/>
      <c r="C617" s="1"/>
      <c r="D617" s="1"/>
      <c r="E617" s="1"/>
    </row>
    <row r="618" spans="1:5" ht="14.25" x14ac:dyDescent="0.2">
      <c r="A618" s="3"/>
      <c r="B618" s="1"/>
      <c r="C618" s="1"/>
      <c r="D618" s="1"/>
      <c r="E618" s="1"/>
    </row>
    <row r="619" spans="1:5" ht="14.25" x14ac:dyDescent="0.2">
      <c r="A619" s="3"/>
      <c r="B619" s="1"/>
      <c r="C619" s="1"/>
      <c r="D619" s="1"/>
      <c r="E619" s="1"/>
    </row>
    <row r="620" spans="1:5" ht="14.25" x14ac:dyDescent="0.2">
      <c r="A620" s="3"/>
      <c r="B620" s="1"/>
      <c r="C620" s="1"/>
      <c r="D620" s="1"/>
      <c r="E620" s="1"/>
    </row>
    <row r="621" spans="1:5" ht="14.25" x14ac:dyDescent="0.2">
      <c r="A621" s="3"/>
      <c r="B621" s="1"/>
      <c r="C621" s="1"/>
      <c r="D621" s="1"/>
      <c r="E621" s="1"/>
    </row>
    <row r="622" spans="1:5" ht="14.25" x14ac:dyDescent="0.2">
      <c r="A622" s="3"/>
      <c r="B622" s="1"/>
      <c r="C622" s="1"/>
      <c r="D622" s="1"/>
      <c r="E622" s="1"/>
    </row>
    <row r="623" spans="1:5" ht="14.25" x14ac:dyDescent="0.2">
      <c r="A623" s="3"/>
      <c r="B623" s="1"/>
      <c r="C623" s="1"/>
      <c r="D623" s="1"/>
      <c r="E623" s="1"/>
    </row>
    <row r="624" spans="1:5" ht="14.25" x14ac:dyDescent="0.2">
      <c r="A624" s="3"/>
      <c r="B624" s="1"/>
      <c r="C624" s="1"/>
      <c r="D624" s="1"/>
      <c r="E624" s="1"/>
    </row>
    <row r="625" spans="1:5" ht="14.25" x14ac:dyDescent="0.2">
      <c r="A625" s="3"/>
      <c r="B625" s="1"/>
      <c r="C625" s="1"/>
      <c r="D625" s="1"/>
      <c r="E625" s="1"/>
    </row>
    <row r="626" spans="1:5" ht="14.25" x14ac:dyDescent="0.2">
      <c r="A626" s="3"/>
      <c r="B626" s="1"/>
      <c r="C626" s="1"/>
      <c r="D626" s="1"/>
      <c r="E626" s="1"/>
    </row>
    <row r="627" spans="1:5" ht="14.25" x14ac:dyDescent="0.2">
      <c r="A627" s="3"/>
      <c r="B627" s="1"/>
      <c r="C627" s="1"/>
      <c r="D627" s="1"/>
      <c r="E627" s="1"/>
    </row>
    <row r="628" spans="1:5" ht="14.25" x14ac:dyDescent="0.2">
      <c r="A628" s="3"/>
      <c r="B628" s="1"/>
      <c r="C628" s="1"/>
      <c r="D628" s="1"/>
      <c r="E628" s="1"/>
    </row>
    <row r="629" spans="1:5" ht="14.25" x14ac:dyDescent="0.2">
      <c r="A629" s="3"/>
      <c r="B629" s="1"/>
      <c r="C629" s="1"/>
      <c r="D629" s="1"/>
      <c r="E629" s="1"/>
    </row>
    <row r="630" spans="1:5" ht="14.25" x14ac:dyDescent="0.2">
      <c r="A630" s="3"/>
      <c r="B630" s="1"/>
      <c r="C630" s="1"/>
      <c r="D630" s="1"/>
      <c r="E630" s="1"/>
    </row>
    <row r="631" spans="1:5" ht="14.25" x14ac:dyDescent="0.2">
      <c r="A631" s="3"/>
      <c r="B631" s="1"/>
      <c r="C631" s="1"/>
      <c r="D631" s="1"/>
      <c r="E631" s="1"/>
    </row>
    <row r="632" spans="1:5" ht="14.25" x14ac:dyDescent="0.2">
      <c r="A632" s="3"/>
      <c r="B632" s="1"/>
      <c r="C632" s="1"/>
      <c r="D632" s="1"/>
      <c r="E632" s="1"/>
    </row>
    <row r="633" spans="1:5" ht="14.25" x14ac:dyDescent="0.2">
      <c r="A633" s="3"/>
      <c r="B633" s="1"/>
      <c r="C633" s="1"/>
      <c r="D633" s="1"/>
      <c r="E633" s="1"/>
    </row>
    <row r="634" spans="1:5" ht="14.25" x14ac:dyDescent="0.2">
      <c r="A634" s="3"/>
      <c r="B634" s="1"/>
      <c r="C634" s="1"/>
      <c r="D634" s="1"/>
      <c r="E634" s="1"/>
    </row>
    <row r="635" spans="1:5" ht="14.25" x14ac:dyDescent="0.2">
      <c r="A635" s="3"/>
      <c r="B635" s="1"/>
      <c r="C635" s="1"/>
      <c r="D635" s="1"/>
      <c r="E635" s="1"/>
    </row>
    <row r="636" spans="1:5" ht="14.25" x14ac:dyDescent="0.2">
      <c r="A636" s="3"/>
      <c r="B636" s="1"/>
      <c r="C636" s="1"/>
      <c r="D636" s="1"/>
      <c r="E636" s="1"/>
    </row>
    <row r="637" spans="1:5" ht="14.25" x14ac:dyDescent="0.2">
      <c r="A637" s="3"/>
      <c r="B637" s="1"/>
      <c r="C637" s="1"/>
      <c r="D637" s="1"/>
      <c r="E637" s="1"/>
    </row>
    <row r="638" spans="1:5" ht="14.25" x14ac:dyDescent="0.2">
      <c r="A638" s="3"/>
      <c r="B638" s="1"/>
      <c r="C638" s="1"/>
      <c r="D638" s="1"/>
      <c r="E638" s="1"/>
    </row>
    <row r="639" spans="1:5" ht="14.25" x14ac:dyDescent="0.2">
      <c r="A639" s="3"/>
      <c r="B639" s="1"/>
      <c r="C639" s="1"/>
      <c r="D639" s="1"/>
      <c r="E639" s="1"/>
    </row>
    <row r="640" spans="1:5" ht="14.25" x14ac:dyDescent="0.2">
      <c r="A640" s="3"/>
      <c r="B640" s="1"/>
      <c r="C640" s="1"/>
      <c r="D640" s="1"/>
      <c r="E640" s="1"/>
    </row>
    <row r="641" spans="1:5" ht="14.25" x14ac:dyDescent="0.2">
      <c r="A641" s="3"/>
      <c r="B641" s="1"/>
      <c r="C641" s="1"/>
      <c r="D641" s="1"/>
      <c r="E641" s="1"/>
    </row>
    <row r="642" spans="1:5" ht="14.25" x14ac:dyDescent="0.2">
      <c r="A642" s="3"/>
      <c r="B642" s="1"/>
      <c r="C642" s="1"/>
      <c r="D642" s="1"/>
      <c r="E642" s="1"/>
    </row>
    <row r="643" spans="1:5" ht="14.25" x14ac:dyDescent="0.2">
      <c r="A643" s="3"/>
      <c r="B643" s="1"/>
      <c r="C643" s="1"/>
      <c r="D643" s="1"/>
      <c r="E643" s="1"/>
    </row>
    <row r="644" spans="1:5" ht="14.25" x14ac:dyDescent="0.2">
      <c r="A644" s="3"/>
      <c r="B644" s="1"/>
      <c r="C644" s="1"/>
      <c r="D644" s="1"/>
      <c r="E644" s="1"/>
    </row>
    <row r="936" spans="1:5" ht="14.25" x14ac:dyDescent="0.2">
      <c r="A936" s="3"/>
      <c r="B936" s="1"/>
      <c r="C936" s="1"/>
      <c r="D936" s="1"/>
      <c r="E936" s="1"/>
    </row>
    <row r="937" spans="1:5" ht="14.25" x14ac:dyDescent="0.2">
      <c r="A937" s="3"/>
      <c r="B937" s="1"/>
      <c r="C937" s="1"/>
      <c r="D937" s="1"/>
      <c r="E937" s="1"/>
    </row>
    <row r="938" spans="1:5" ht="14.25" x14ac:dyDescent="0.2">
      <c r="A938" s="3"/>
      <c r="B938" s="1"/>
      <c r="C938" s="1"/>
      <c r="D938" s="1"/>
      <c r="E938" s="1"/>
    </row>
    <row r="939" spans="1:5" ht="14.25" x14ac:dyDescent="0.2">
      <c r="A939" s="3"/>
      <c r="B939" s="1"/>
      <c r="C939" s="1"/>
      <c r="D939" s="1"/>
      <c r="E939" s="1"/>
    </row>
    <row r="940" spans="1:5" ht="14.25" x14ac:dyDescent="0.2">
      <c r="A940" s="3"/>
      <c r="B940" s="1"/>
      <c r="C940" s="1"/>
      <c r="D940" s="1"/>
      <c r="E940" s="1"/>
    </row>
    <row r="941" spans="1:5" ht="14.25" x14ac:dyDescent="0.2">
      <c r="A941" s="3"/>
      <c r="B941" s="1"/>
      <c r="C941" s="1"/>
      <c r="D941" s="1"/>
      <c r="E941" s="1"/>
    </row>
    <row r="942" spans="1:5" ht="14.25" x14ac:dyDescent="0.2">
      <c r="A942" s="3"/>
      <c r="B942" s="1"/>
      <c r="C942" s="1"/>
      <c r="D942" s="1"/>
      <c r="E942" s="1"/>
    </row>
    <row r="943" spans="1:5" ht="14.25" x14ac:dyDescent="0.2">
      <c r="A943" s="3"/>
      <c r="B943" s="1"/>
      <c r="C943" s="1"/>
      <c r="D943" s="1"/>
      <c r="E943" s="1"/>
    </row>
    <row r="944" spans="1:5" ht="14.25" x14ac:dyDescent="0.2">
      <c r="A944" s="3"/>
      <c r="B944" s="1"/>
      <c r="C944" s="1"/>
      <c r="D944" s="1"/>
      <c r="E944" s="1"/>
    </row>
    <row r="945" spans="1:5" ht="14.25" x14ac:dyDescent="0.2">
      <c r="A945" s="3"/>
      <c r="B945" s="1"/>
      <c r="C945" s="1"/>
      <c r="D945" s="1"/>
      <c r="E945" s="1"/>
    </row>
    <row r="946" spans="1:5" ht="14.25" x14ac:dyDescent="0.2">
      <c r="A946" s="3"/>
      <c r="B946" s="1"/>
      <c r="C946" s="1"/>
      <c r="D946" s="1"/>
      <c r="E946" s="1"/>
    </row>
    <row r="947" spans="1:5" ht="14.25" x14ac:dyDescent="0.2">
      <c r="A947" s="3"/>
      <c r="B947" s="1"/>
      <c r="C947" s="1"/>
      <c r="D947" s="1"/>
      <c r="E947" s="1"/>
    </row>
    <row r="948" spans="1:5" ht="14.25" x14ac:dyDescent="0.2">
      <c r="A948" s="3"/>
      <c r="B948" s="1"/>
      <c r="C948" s="1"/>
      <c r="D948" s="1"/>
      <c r="E948" s="1"/>
    </row>
    <row r="949" spans="1:5" ht="14.25" x14ac:dyDescent="0.2">
      <c r="A949" s="3"/>
      <c r="B949" s="1"/>
      <c r="C949" s="1"/>
      <c r="D949" s="1"/>
      <c r="E949" s="1"/>
    </row>
  </sheetData>
  <mergeCells count="17">
    <mergeCell ref="W23:W24"/>
    <mergeCell ref="X23:AA24"/>
    <mergeCell ref="D24:L24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A23:A25"/>
    <mergeCell ref="B23:B25"/>
    <mergeCell ref="C23:C25"/>
    <mergeCell ref="D23:U23"/>
    <mergeCell ref="V23:V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849D1D46C23443A2976C7D7560F309" ma:contentTypeVersion="12" ma:contentTypeDescription="Create a new document." ma:contentTypeScope="" ma:versionID="390f7adba50948d29591ba2108e285b5">
  <xsd:schema xmlns:xsd="http://www.w3.org/2001/XMLSchema" xmlns:xs="http://www.w3.org/2001/XMLSchema" xmlns:p="http://schemas.microsoft.com/office/2006/metadata/properties" xmlns:ns1="http://schemas.microsoft.com/sharepoint/v3" xmlns:ns3="f5774fc8-a5a4-4699-a315-a0e3181bc23f" xmlns:ns4="fba75f42-ce50-4497-a3ab-6fc2fdfbc707" targetNamespace="http://schemas.microsoft.com/office/2006/metadata/properties" ma:root="true" ma:fieldsID="1eb8af950d93d8f5ceec354a47bd8470" ns1:_="" ns3:_="" ns4:_="">
    <xsd:import namespace="http://schemas.microsoft.com/sharepoint/v3"/>
    <xsd:import namespace="f5774fc8-a5a4-4699-a315-a0e3181bc23f"/>
    <xsd:import namespace="fba75f42-ce50-4497-a3ab-6fc2fdfbc7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74fc8-a5a4-4699-a315-a0e3181bc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75f42-ce50-4497-a3ab-6fc2fdfbc70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F861E-302E-4A5B-8A44-34F84004FA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46842B-85E9-4520-BF17-50FEDA89380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33CFE8C-7B0D-4240-892A-53D11F5445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774fc8-a5a4-4699-a315-a0e3181bc23f"/>
    <ds:schemaRef ds:uri="fba75f42-ce50-4497-a3ab-6fc2fdfbc7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2020-2022</vt:lpstr>
      <vt:lpstr>haridus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</dc:creator>
  <cp:keywords/>
  <dc:description/>
  <cp:lastModifiedBy>Estrit Aasma</cp:lastModifiedBy>
  <cp:revision/>
  <cp:lastPrinted>2022-01-24T16:56:11Z</cp:lastPrinted>
  <dcterms:created xsi:type="dcterms:W3CDTF">2011-12-15T08:12:24Z</dcterms:created>
  <dcterms:modified xsi:type="dcterms:W3CDTF">2023-01-13T07:31:25Z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0x0101000C849D1D46C23443A2976C7D7560F309</vt:lpwstr>
  </property>
</Properties>
</file>