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mc:AlternateContent xmlns:mc="http://schemas.openxmlformats.org/markup-compatibility/2006">
    <mc:Choice Requires="x15">
      <x15ac:absPath xmlns:x15ac="http://schemas.microsoft.com/office/spreadsheetml/2010/11/ac" url="https://tartuvald-my.sharepoint.com/personal/elle_kaljurand_tartuvald_ee/Documents/Töölaud/2024EELARVE/2024EAdok volikogu komisjonidesse/2024EA projekt 31.10.2023/"/>
    </mc:Choice>
  </mc:AlternateContent>
  <xr:revisionPtr revIDLastSave="147" documentId="8_{F7F55241-53B7-4FE2-A527-73ACEB55A144}" xr6:coauthVersionLast="47" xr6:coauthVersionMax="47" xr10:uidLastSave="{838BAD3C-CB01-46BA-BEC8-18E0F96D4EBA}"/>
  <bookViews>
    <workbookView xWindow="-120" yWindow="-120" windowWidth="29040" windowHeight="15840" tabRatio="572" xr2:uid="{00000000-000D-0000-FFFF-FFFF00000000}"/>
  </bookViews>
  <sheets>
    <sheet name="2022-2024EA" sheetId="8" r:id="rId1"/>
    <sheet name="parandusettepanekud 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37" i="8" l="1"/>
  <c r="N1867" i="8"/>
  <c r="N118" i="8"/>
  <c r="L106" i="8"/>
  <c r="J466" i="8"/>
  <c r="J467" i="8"/>
  <c r="K467" i="8"/>
  <c r="L467" i="8"/>
  <c r="N1741" i="8" l="1"/>
  <c r="N1742" i="8"/>
  <c r="N1743" i="8"/>
  <c r="N1744" i="8"/>
  <c r="N1745" i="8"/>
  <c r="N1746" i="8"/>
  <c r="N1747" i="8"/>
  <c r="N1748" i="8"/>
  <c r="N1749" i="8"/>
  <c r="N1750" i="8"/>
  <c r="N1751" i="8"/>
  <c r="N1752" i="8"/>
  <c r="N1753" i="8"/>
  <c r="N1754" i="8"/>
  <c r="N1755" i="8"/>
  <c r="N1756" i="8"/>
  <c r="N1757" i="8"/>
  <c r="N1758" i="8"/>
  <c r="N1759" i="8"/>
  <c r="N1760" i="8"/>
  <c r="N1761" i="8"/>
  <c r="N1762" i="8"/>
  <c r="N1763" i="8"/>
  <c r="N1764" i="8"/>
  <c r="N1765" i="8"/>
  <c r="N1766" i="8"/>
  <c r="N1767" i="8"/>
  <c r="N1768" i="8"/>
  <c r="N1769" i="8"/>
  <c r="N1770" i="8"/>
  <c r="N1771" i="8"/>
  <c r="N1772" i="8"/>
  <c r="N1773" i="8"/>
  <c r="N1774" i="8"/>
  <c r="N1775" i="8"/>
  <c r="N1776" i="8"/>
  <c r="N1777" i="8"/>
  <c r="N1778" i="8"/>
  <c r="N1779" i="8"/>
  <c r="N1780" i="8"/>
  <c r="N1781" i="8"/>
  <c r="N1782" i="8"/>
  <c r="N1783" i="8"/>
  <c r="N1784" i="8"/>
  <c r="N1785" i="8"/>
  <c r="N1786" i="8"/>
  <c r="N1787" i="8"/>
  <c r="N1788" i="8"/>
  <c r="N1789" i="8"/>
  <c r="N1790" i="8"/>
  <c r="N1791" i="8"/>
  <c r="N1792" i="8"/>
  <c r="N1793" i="8"/>
  <c r="N1794" i="8"/>
  <c r="N1795" i="8"/>
  <c r="N1796" i="8"/>
  <c r="N1797" i="8"/>
  <c r="N1798" i="8"/>
  <c r="N1799" i="8"/>
  <c r="N1800" i="8"/>
  <c r="N1801" i="8"/>
  <c r="N1802" i="8"/>
  <c r="N1803" i="8"/>
  <c r="N1804" i="8"/>
  <c r="N1805" i="8"/>
  <c r="N1806" i="8"/>
  <c r="N1807" i="8"/>
  <c r="N1808" i="8"/>
  <c r="N1809" i="8"/>
  <c r="N1810" i="8"/>
  <c r="N1811" i="8"/>
  <c r="N1812" i="8"/>
  <c r="N1813" i="8"/>
  <c r="N1814" i="8"/>
  <c r="N1815" i="8"/>
  <c r="N1816" i="8"/>
  <c r="N1817" i="8"/>
  <c r="N1818" i="8"/>
  <c r="N1819" i="8"/>
  <c r="N1820" i="8"/>
  <c r="N1821" i="8"/>
  <c r="N1822" i="8"/>
  <c r="N1823" i="8"/>
  <c r="N1824" i="8"/>
  <c r="N1825" i="8"/>
  <c r="N1826" i="8"/>
  <c r="N1827" i="8"/>
  <c r="N1828" i="8"/>
  <c r="N1829" i="8"/>
  <c r="N1830" i="8"/>
  <c r="N1831" i="8"/>
  <c r="N1832" i="8"/>
  <c r="N1833" i="8"/>
  <c r="N1834" i="8"/>
  <c r="N1835" i="8"/>
  <c r="N1836" i="8"/>
  <c r="N1837" i="8"/>
  <c r="N1838" i="8"/>
  <c r="N1839" i="8"/>
  <c r="N1840" i="8"/>
  <c r="N1841" i="8"/>
  <c r="N1842" i="8"/>
  <c r="N1843" i="8"/>
  <c r="N1844" i="8"/>
  <c r="N1845" i="8"/>
  <c r="N1846" i="8"/>
  <c r="N1847" i="8"/>
  <c r="N1848" i="8"/>
  <c r="N1849" i="8"/>
  <c r="N1850" i="8"/>
  <c r="N1851" i="8"/>
  <c r="N1852" i="8"/>
  <c r="N1853" i="8"/>
  <c r="N1854" i="8"/>
  <c r="N1855" i="8"/>
  <c r="N1856" i="8"/>
  <c r="N1857" i="8"/>
  <c r="N1858" i="8"/>
  <c r="N1859" i="8"/>
  <c r="N1861" i="8"/>
  <c r="N1862" i="8"/>
  <c r="N1866" i="8"/>
  <c r="N1868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N277" i="8"/>
  <c r="N278" i="8"/>
  <c r="N279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300" i="8"/>
  <c r="N301" i="8"/>
  <c r="N302" i="8"/>
  <c r="N303" i="8"/>
  <c r="N304" i="8"/>
  <c r="N305" i="8"/>
  <c r="N306" i="8"/>
  <c r="N307" i="8"/>
  <c r="N308" i="8"/>
  <c r="N309" i="8"/>
  <c r="N310" i="8"/>
  <c r="N311" i="8"/>
  <c r="N312" i="8"/>
  <c r="N313" i="8"/>
  <c r="N314" i="8"/>
  <c r="N315" i="8"/>
  <c r="N316" i="8"/>
  <c r="N317" i="8"/>
  <c r="N318" i="8"/>
  <c r="N319" i="8"/>
  <c r="N320" i="8"/>
  <c r="N321" i="8"/>
  <c r="N322" i="8"/>
  <c r="N323" i="8"/>
  <c r="N324" i="8"/>
  <c r="N325" i="8"/>
  <c r="N326" i="8"/>
  <c r="N327" i="8"/>
  <c r="N328" i="8"/>
  <c r="N329" i="8"/>
  <c r="N330" i="8"/>
  <c r="N331" i="8"/>
  <c r="N332" i="8"/>
  <c r="N333" i="8"/>
  <c r="N334" i="8"/>
  <c r="N335" i="8"/>
  <c r="N336" i="8"/>
  <c r="N337" i="8"/>
  <c r="N338" i="8"/>
  <c r="N339" i="8"/>
  <c r="N340" i="8"/>
  <c r="N341" i="8"/>
  <c r="N342" i="8"/>
  <c r="N343" i="8"/>
  <c r="N344" i="8"/>
  <c r="N345" i="8"/>
  <c r="N346" i="8"/>
  <c r="N347" i="8"/>
  <c r="N348" i="8"/>
  <c r="N349" i="8"/>
  <c r="N350" i="8"/>
  <c r="N351" i="8"/>
  <c r="N352" i="8"/>
  <c r="N353" i="8"/>
  <c r="N354" i="8"/>
  <c r="N355" i="8"/>
  <c r="N356" i="8"/>
  <c r="N357" i="8"/>
  <c r="N358" i="8"/>
  <c r="N359" i="8"/>
  <c r="N360" i="8"/>
  <c r="N361" i="8"/>
  <c r="N362" i="8"/>
  <c r="N363" i="8"/>
  <c r="N364" i="8"/>
  <c r="N365" i="8"/>
  <c r="N366" i="8"/>
  <c r="N367" i="8"/>
  <c r="N368" i="8"/>
  <c r="N369" i="8"/>
  <c r="N370" i="8"/>
  <c r="N371" i="8"/>
  <c r="N372" i="8"/>
  <c r="N373" i="8"/>
  <c r="N374" i="8"/>
  <c r="N375" i="8"/>
  <c r="N376" i="8"/>
  <c r="N377" i="8"/>
  <c r="N378" i="8"/>
  <c r="N379" i="8"/>
  <c r="N380" i="8"/>
  <c r="N381" i="8"/>
  <c r="N382" i="8"/>
  <c r="N383" i="8"/>
  <c r="N384" i="8"/>
  <c r="N385" i="8"/>
  <c r="N386" i="8"/>
  <c r="N387" i="8"/>
  <c r="N388" i="8"/>
  <c r="N389" i="8"/>
  <c r="N390" i="8"/>
  <c r="N391" i="8"/>
  <c r="N392" i="8"/>
  <c r="N393" i="8"/>
  <c r="N394" i="8"/>
  <c r="N395" i="8"/>
  <c r="N396" i="8"/>
  <c r="N397" i="8"/>
  <c r="N398" i="8"/>
  <c r="N399" i="8"/>
  <c r="N402" i="8"/>
  <c r="N405" i="8"/>
  <c r="N406" i="8"/>
  <c r="N407" i="8"/>
  <c r="N408" i="8"/>
  <c r="N409" i="8"/>
  <c r="N410" i="8"/>
  <c r="N411" i="8"/>
  <c r="N412" i="8"/>
  <c r="N413" i="8"/>
  <c r="N414" i="8"/>
  <c r="N415" i="8"/>
  <c r="N416" i="8"/>
  <c r="N417" i="8"/>
  <c r="N418" i="8"/>
  <c r="N419" i="8"/>
  <c r="N420" i="8"/>
  <c r="N421" i="8"/>
  <c r="N422" i="8"/>
  <c r="N423" i="8"/>
  <c r="N424" i="8"/>
  <c r="N425" i="8"/>
  <c r="N426" i="8"/>
  <c r="N427" i="8"/>
  <c r="N428" i="8"/>
  <c r="N429" i="8"/>
  <c r="N430" i="8"/>
  <c r="N431" i="8"/>
  <c r="N432" i="8"/>
  <c r="N433" i="8"/>
  <c r="N434" i="8"/>
  <c r="N435" i="8"/>
  <c r="N436" i="8"/>
  <c r="N437" i="8"/>
  <c r="N438" i="8"/>
  <c r="N439" i="8"/>
  <c r="N440" i="8"/>
  <c r="N441" i="8"/>
  <c r="N442" i="8"/>
  <c r="N443" i="8"/>
  <c r="N444" i="8"/>
  <c r="N445" i="8"/>
  <c r="N446" i="8"/>
  <c r="N447" i="8"/>
  <c r="N448" i="8"/>
  <c r="N449" i="8"/>
  <c r="N450" i="8"/>
  <c r="N451" i="8"/>
  <c r="N452" i="8"/>
  <c r="N453" i="8"/>
  <c r="N454" i="8"/>
  <c r="N455" i="8"/>
  <c r="N456" i="8"/>
  <c r="N457" i="8"/>
  <c r="N458" i="8"/>
  <c r="N459" i="8"/>
  <c r="N460" i="8"/>
  <c r="N461" i="8"/>
  <c r="N462" i="8"/>
  <c r="N463" i="8"/>
  <c r="N464" i="8"/>
  <c r="N466" i="8"/>
  <c r="N467" i="8"/>
  <c r="N468" i="8"/>
  <c r="N469" i="8"/>
  <c r="N470" i="8"/>
  <c r="N471" i="8"/>
  <c r="N472" i="8"/>
  <c r="N473" i="8"/>
  <c r="N474" i="8"/>
  <c r="N475" i="8"/>
  <c r="N476" i="8"/>
  <c r="N477" i="8"/>
  <c r="N478" i="8"/>
  <c r="N479" i="8"/>
  <c r="N480" i="8"/>
  <c r="N481" i="8"/>
  <c r="N482" i="8"/>
  <c r="N483" i="8"/>
  <c r="N484" i="8"/>
  <c r="N485" i="8"/>
  <c r="N486" i="8"/>
  <c r="N487" i="8"/>
  <c r="N488" i="8"/>
  <c r="N489" i="8"/>
  <c r="N490" i="8"/>
  <c r="N491" i="8"/>
  <c r="N492" i="8"/>
  <c r="N493" i="8"/>
  <c r="N494" i="8"/>
  <c r="N495" i="8"/>
  <c r="N496" i="8"/>
  <c r="N497" i="8"/>
  <c r="N498" i="8"/>
  <c r="N499" i="8"/>
  <c r="N500" i="8"/>
  <c r="N501" i="8"/>
  <c r="N502" i="8"/>
  <c r="N503" i="8"/>
  <c r="N504" i="8"/>
  <c r="N505" i="8"/>
  <c r="N506" i="8"/>
  <c r="N507" i="8"/>
  <c r="N508" i="8"/>
  <c r="N509" i="8"/>
  <c r="N510" i="8"/>
  <c r="N511" i="8"/>
  <c r="N512" i="8"/>
  <c r="N513" i="8"/>
  <c r="N514" i="8"/>
  <c r="N515" i="8"/>
  <c r="N516" i="8"/>
  <c r="N517" i="8"/>
  <c r="N518" i="8"/>
  <c r="N519" i="8"/>
  <c r="N520" i="8"/>
  <c r="N521" i="8"/>
  <c r="N522" i="8"/>
  <c r="N523" i="8"/>
  <c r="N524" i="8"/>
  <c r="N525" i="8"/>
  <c r="N526" i="8"/>
  <c r="N527" i="8"/>
  <c r="N528" i="8"/>
  <c r="N529" i="8"/>
  <c r="N530" i="8"/>
  <c r="N531" i="8"/>
  <c r="N532" i="8"/>
  <c r="N533" i="8"/>
  <c r="N534" i="8"/>
  <c r="N535" i="8"/>
  <c r="N536" i="8"/>
  <c r="N537" i="8"/>
  <c r="N538" i="8"/>
  <c r="N539" i="8"/>
  <c r="N540" i="8"/>
  <c r="N541" i="8"/>
  <c r="N542" i="8"/>
  <c r="N543" i="8"/>
  <c r="N544" i="8"/>
  <c r="N545" i="8"/>
  <c r="N546" i="8"/>
  <c r="N547" i="8"/>
  <c r="N548" i="8"/>
  <c r="N549" i="8"/>
  <c r="N550" i="8"/>
  <c r="N551" i="8"/>
  <c r="N552" i="8"/>
  <c r="N553" i="8"/>
  <c r="N554" i="8"/>
  <c r="N555" i="8"/>
  <c r="N556" i="8"/>
  <c r="N557" i="8"/>
  <c r="N558" i="8"/>
  <c r="N559" i="8"/>
  <c r="N560" i="8"/>
  <c r="N561" i="8"/>
  <c r="N562" i="8"/>
  <c r="N563" i="8"/>
  <c r="N564" i="8"/>
  <c r="N565" i="8"/>
  <c r="N566" i="8"/>
  <c r="N567" i="8"/>
  <c r="N568" i="8"/>
  <c r="N569" i="8"/>
  <c r="N570" i="8"/>
  <c r="N571" i="8"/>
  <c r="N572" i="8"/>
  <c r="N573" i="8"/>
  <c r="N574" i="8"/>
  <c r="N575" i="8"/>
  <c r="N576" i="8"/>
  <c r="N577" i="8"/>
  <c r="N578" i="8"/>
  <c r="N579" i="8"/>
  <c r="N580" i="8"/>
  <c r="N581" i="8"/>
  <c r="N582" i="8"/>
  <c r="N583" i="8"/>
  <c r="N584" i="8"/>
  <c r="N585" i="8"/>
  <c r="N586" i="8"/>
  <c r="N587" i="8"/>
  <c r="N588" i="8"/>
  <c r="N589" i="8"/>
  <c r="N590" i="8"/>
  <c r="N591" i="8"/>
  <c r="N592" i="8"/>
  <c r="N593" i="8"/>
  <c r="N594" i="8"/>
  <c r="N595" i="8"/>
  <c r="N596" i="8"/>
  <c r="N597" i="8"/>
  <c r="N598" i="8"/>
  <c r="N599" i="8"/>
  <c r="N600" i="8"/>
  <c r="N601" i="8"/>
  <c r="N602" i="8"/>
  <c r="N603" i="8"/>
  <c r="N604" i="8"/>
  <c r="N605" i="8"/>
  <c r="N606" i="8"/>
  <c r="N607" i="8"/>
  <c r="N608" i="8"/>
  <c r="N609" i="8"/>
  <c r="N610" i="8"/>
  <c r="N611" i="8"/>
  <c r="N612" i="8"/>
  <c r="N613" i="8"/>
  <c r="N614" i="8"/>
  <c r="N615" i="8"/>
  <c r="N616" i="8"/>
  <c r="N617" i="8"/>
  <c r="N618" i="8"/>
  <c r="N619" i="8"/>
  <c r="N620" i="8"/>
  <c r="N621" i="8"/>
  <c r="N622" i="8"/>
  <c r="N623" i="8"/>
  <c r="N624" i="8"/>
  <c r="N625" i="8"/>
  <c r="N626" i="8"/>
  <c r="N627" i="8"/>
  <c r="N628" i="8"/>
  <c r="N629" i="8"/>
  <c r="N630" i="8"/>
  <c r="N631" i="8"/>
  <c r="N632" i="8"/>
  <c r="N633" i="8"/>
  <c r="N634" i="8"/>
  <c r="N635" i="8"/>
  <c r="N636" i="8"/>
  <c r="N637" i="8"/>
  <c r="N638" i="8"/>
  <c r="N639" i="8"/>
  <c r="N640" i="8"/>
  <c r="N641" i="8"/>
  <c r="N642" i="8"/>
  <c r="N643" i="8"/>
  <c r="N644" i="8"/>
  <c r="N645" i="8"/>
  <c r="N646" i="8"/>
  <c r="N647" i="8"/>
  <c r="N648" i="8"/>
  <c r="N649" i="8"/>
  <c r="N650" i="8"/>
  <c r="N651" i="8"/>
  <c r="N652" i="8"/>
  <c r="N653" i="8"/>
  <c r="N654" i="8"/>
  <c r="N655" i="8"/>
  <c r="N656" i="8"/>
  <c r="N657" i="8"/>
  <c r="N658" i="8"/>
  <c r="N659" i="8"/>
  <c r="N660" i="8"/>
  <c r="N661" i="8"/>
  <c r="N662" i="8"/>
  <c r="N663" i="8"/>
  <c r="N664" i="8"/>
  <c r="N665" i="8"/>
  <c r="N666" i="8"/>
  <c r="N667" i="8"/>
  <c r="N668" i="8"/>
  <c r="N669" i="8"/>
  <c r="N670" i="8"/>
  <c r="N671" i="8"/>
  <c r="N672" i="8"/>
  <c r="N673" i="8"/>
  <c r="N674" i="8"/>
  <c r="N675" i="8"/>
  <c r="N676" i="8"/>
  <c r="N677" i="8"/>
  <c r="N678" i="8"/>
  <c r="N679" i="8"/>
  <c r="N680" i="8"/>
  <c r="N681" i="8"/>
  <c r="N682" i="8"/>
  <c r="N683" i="8"/>
  <c r="N684" i="8"/>
  <c r="N685" i="8"/>
  <c r="N686" i="8"/>
  <c r="N687" i="8"/>
  <c r="N688" i="8"/>
  <c r="N689" i="8"/>
  <c r="N690" i="8"/>
  <c r="N691" i="8"/>
  <c r="N692" i="8"/>
  <c r="N693" i="8"/>
  <c r="N694" i="8"/>
  <c r="N695" i="8"/>
  <c r="N696" i="8"/>
  <c r="N697" i="8"/>
  <c r="N698" i="8"/>
  <c r="N699" i="8"/>
  <c r="N700" i="8"/>
  <c r="N701" i="8"/>
  <c r="N702" i="8"/>
  <c r="N703" i="8"/>
  <c r="N704" i="8"/>
  <c r="N705" i="8"/>
  <c r="N706" i="8"/>
  <c r="N707" i="8"/>
  <c r="N708" i="8"/>
  <c r="N709" i="8"/>
  <c r="N710" i="8"/>
  <c r="N711" i="8"/>
  <c r="N712" i="8"/>
  <c r="N713" i="8"/>
  <c r="N714" i="8"/>
  <c r="N715" i="8"/>
  <c r="N716" i="8"/>
  <c r="N717" i="8"/>
  <c r="N718" i="8"/>
  <c r="N719" i="8"/>
  <c r="N720" i="8"/>
  <c r="N721" i="8"/>
  <c r="N722" i="8"/>
  <c r="N723" i="8"/>
  <c r="N724" i="8"/>
  <c r="N725" i="8"/>
  <c r="N726" i="8"/>
  <c r="N727" i="8"/>
  <c r="N728" i="8"/>
  <c r="N729" i="8"/>
  <c r="N730" i="8"/>
  <c r="N731" i="8"/>
  <c r="N732" i="8"/>
  <c r="N733" i="8"/>
  <c r="N734" i="8"/>
  <c r="N735" i="8"/>
  <c r="N736" i="8"/>
  <c r="N737" i="8"/>
  <c r="N738" i="8"/>
  <c r="N739" i="8"/>
  <c r="N740" i="8"/>
  <c r="N741" i="8"/>
  <c r="N742" i="8"/>
  <c r="N743" i="8"/>
  <c r="N744" i="8"/>
  <c r="N745" i="8"/>
  <c r="N746" i="8"/>
  <c r="N747" i="8"/>
  <c r="N748" i="8"/>
  <c r="N749" i="8"/>
  <c r="N750" i="8"/>
  <c r="N751" i="8"/>
  <c r="N752" i="8"/>
  <c r="N753" i="8"/>
  <c r="N754" i="8"/>
  <c r="N755" i="8"/>
  <c r="N756" i="8"/>
  <c r="N757" i="8"/>
  <c r="N758" i="8"/>
  <c r="N759" i="8"/>
  <c r="N760" i="8"/>
  <c r="N761" i="8"/>
  <c r="N762" i="8"/>
  <c r="N763" i="8"/>
  <c r="N764" i="8"/>
  <c r="N765" i="8"/>
  <c r="N766" i="8"/>
  <c r="N767" i="8"/>
  <c r="N768" i="8"/>
  <c r="N769" i="8"/>
  <c r="N770" i="8"/>
  <c r="N771" i="8"/>
  <c r="N772" i="8"/>
  <c r="N773" i="8"/>
  <c r="N774" i="8"/>
  <c r="N775" i="8"/>
  <c r="N776" i="8"/>
  <c r="N777" i="8"/>
  <c r="N778" i="8"/>
  <c r="N779" i="8"/>
  <c r="N780" i="8"/>
  <c r="N781" i="8"/>
  <c r="N782" i="8"/>
  <c r="N783" i="8"/>
  <c r="N784" i="8"/>
  <c r="N785" i="8"/>
  <c r="N786" i="8"/>
  <c r="N787" i="8"/>
  <c r="N788" i="8"/>
  <c r="N789" i="8"/>
  <c r="N790" i="8"/>
  <c r="N791" i="8"/>
  <c r="N792" i="8"/>
  <c r="N793" i="8"/>
  <c r="N794" i="8"/>
  <c r="N795" i="8"/>
  <c r="N796" i="8"/>
  <c r="N797" i="8"/>
  <c r="N798" i="8"/>
  <c r="N799" i="8"/>
  <c r="N800" i="8"/>
  <c r="N801" i="8"/>
  <c r="N802" i="8"/>
  <c r="N803" i="8"/>
  <c r="N804" i="8"/>
  <c r="N805" i="8"/>
  <c r="N806" i="8"/>
  <c r="N807" i="8"/>
  <c r="N808" i="8"/>
  <c r="N809" i="8"/>
  <c r="N810" i="8"/>
  <c r="N811" i="8"/>
  <c r="N812" i="8"/>
  <c r="N813" i="8"/>
  <c r="N814" i="8"/>
  <c r="N815" i="8"/>
  <c r="N816" i="8"/>
  <c r="N817" i="8"/>
  <c r="N818" i="8"/>
  <c r="N819" i="8"/>
  <c r="N820" i="8"/>
  <c r="N821" i="8"/>
  <c r="N822" i="8"/>
  <c r="N823" i="8"/>
  <c r="N824" i="8"/>
  <c r="N825" i="8"/>
  <c r="N826" i="8"/>
  <c r="N827" i="8"/>
  <c r="N828" i="8"/>
  <c r="N829" i="8"/>
  <c r="N830" i="8"/>
  <c r="N831" i="8"/>
  <c r="N832" i="8"/>
  <c r="N833" i="8"/>
  <c r="N834" i="8"/>
  <c r="N835" i="8"/>
  <c r="N836" i="8"/>
  <c r="N837" i="8"/>
  <c r="N838" i="8"/>
  <c r="N839" i="8"/>
  <c r="N840" i="8"/>
  <c r="N841" i="8"/>
  <c r="N842" i="8"/>
  <c r="N843" i="8"/>
  <c r="N844" i="8"/>
  <c r="N845" i="8"/>
  <c r="N846" i="8"/>
  <c r="N847" i="8"/>
  <c r="N848" i="8"/>
  <c r="N849" i="8"/>
  <c r="N850" i="8"/>
  <c r="N851" i="8"/>
  <c r="N852" i="8"/>
  <c r="N853" i="8"/>
  <c r="N854" i="8"/>
  <c r="N855" i="8"/>
  <c r="N856" i="8"/>
  <c r="N857" i="8"/>
  <c r="N858" i="8"/>
  <c r="N859" i="8"/>
  <c r="N860" i="8"/>
  <c r="N861" i="8"/>
  <c r="N862" i="8"/>
  <c r="N863" i="8"/>
  <c r="N864" i="8"/>
  <c r="N865" i="8"/>
  <c r="N866" i="8"/>
  <c r="N867" i="8"/>
  <c r="N868" i="8"/>
  <c r="N869" i="8"/>
  <c r="N870" i="8"/>
  <c r="N871" i="8"/>
  <c r="N872" i="8"/>
  <c r="N873" i="8"/>
  <c r="N874" i="8"/>
  <c r="N875" i="8"/>
  <c r="N876" i="8"/>
  <c r="N877" i="8"/>
  <c r="N878" i="8"/>
  <c r="N879" i="8"/>
  <c r="N880" i="8"/>
  <c r="N881" i="8"/>
  <c r="N882" i="8"/>
  <c r="N883" i="8"/>
  <c r="N884" i="8"/>
  <c r="N885" i="8"/>
  <c r="N886" i="8"/>
  <c r="N887" i="8"/>
  <c r="N888" i="8"/>
  <c r="N889" i="8"/>
  <c r="N890" i="8"/>
  <c r="N891" i="8"/>
  <c r="N892" i="8"/>
  <c r="N893" i="8"/>
  <c r="N894" i="8"/>
  <c r="N895" i="8"/>
  <c r="N896" i="8"/>
  <c r="N897" i="8"/>
  <c r="N898" i="8"/>
  <c r="N899" i="8"/>
  <c r="N900" i="8"/>
  <c r="N901" i="8"/>
  <c r="N902" i="8"/>
  <c r="N903" i="8"/>
  <c r="N904" i="8"/>
  <c r="N905" i="8"/>
  <c r="N906" i="8"/>
  <c r="N907" i="8"/>
  <c r="N908" i="8"/>
  <c r="N909" i="8"/>
  <c r="N910" i="8"/>
  <c r="N911" i="8"/>
  <c r="N912" i="8"/>
  <c r="N913" i="8"/>
  <c r="N914" i="8"/>
  <c r="N915" i="8"/>
  <c r="N916" i="8"/>
  <c r="N917" i="8"/>
  <c r="N918" i="8"/>
  <c r="N919" i="8"/>
  <c r="N920" i="8"/>
  <c r="N921" i="8"/>
  <c r="N922" i="8"/>
  <c r="N923" i="8"/>
  <c r="N924" i="8"/>
  <c r="N925" i="8"/>
  <c r="N926" i="8"/>
  <c r="N927" i="8"/>
  <c r="N928" i="8"/>
  <c r="N929" i="8"/>
  <c r="N930" i="8"/>
  <c r="N931" i="8"/>
  <c r="N932" i="8"/>
  <c r="N933" i="8"/>
  <c r="N934" i="8"/>
  <c r="N935" i="8"/>
  <c r="N936" i="8"/>
  <c r="N937" i="8"/>
  <c r="N938" i="8"/>
  <c r="N939" i="8"/>
  <c r="N940" i="8"/>
  <c r="N941" i="8"/>
  <c r="N942" i="8"/>
  <c r="N943" i="8"/>
  <c r="N944" i="8"/>
  <c r="N945" i="8"/>
  <c r="N946" i="8"/>
  <c r="N947" i="8"/>
  <c r="N948" i="8"/>
  <c r="N949" i="8"/>
  <c r="N950" i="8"/>
  <c r="N951" i="8"/>
  <c r="N952" i="8"/>
  <c r="N953" i="8"/>
  <c r="N954" i="8"/>
  <c r="N955" i="8"/>
  <c r="N956" i="8"/>
  <c r="N957" i="8"/>
  <c r="N958" i="8"/>
  <c r="N959" i="8"/>
  <c r="N960" i="8"/>
  <c r="N961" i="8"/>
  <c r="N962" i="8"/>
  <c r="N963" i="8"/>
  <c r="N964" i="8"/>
  <c r="N965" i="8"/>
  <c r="N966" i="8"/>
  <c r="N967" i="8"/>
  <c r="N968" i="8"/>
  <c r="N969" i="8"/>
  <c r="N970" i="8"/>
  <c r="N971" i="8"/>
  <c r="N972" i="8"/>
  <c r="N973" i="8"/>
  <c r="N974" i="8"/>
  <c r="N975" i="8"/>
  <c r="N976" i="8"/>
  <c r="N977" i="8"/>
  <c r="N978" i="8"/>
  <c r="N979" i="8"/>
  <c r="N980" i="8"/>
  <c r="N981" i="8"/>
  <c r="N982" i="8"/>
  <c r="N983" i="8"/>
  <c r="N984" i="8"/>
  <c r="N985" i="8"/>
  <c r="N986" i="8"/>
  <c r="N987" i="8"/>
  <c r="N988" i="8"/>
  <c r="N989" i="8"/>
  <c r="N990" i="8"/>
  <c r="N991" i="8"/>
  <c r="N992" i="8"/>
  <c r="N993" i="8"/>
  <c r="N994" i="8"/>
  <c r="N995" i="8"/>
  <c r="N996" i="8"/>
  <c r="N997" i="8"/>
  <c r="N998" i="8"/>
  <c r="N999" i="8"/>
  <c r="N1000" i="8"/>
  <c r="N1001" i="8"/>
  <c r="N1002" i="8"/>
  <c r="N1003" i="8"/>
  <c r="N1004" i="8"/>
  <c r="N1005" i="8"/>
  <c r="N1006" i="8"/>
  <c r="N1007" i="8"/>
  <c r="N1008" i="8"/>
  <c r="N1009" i="8"/>
  <c r="N1010" i="8"/>
  <c r="N1011" i="8"/>
  <c r="N1012" i="8"/>
  <c r="N1013" i="8"/>
  <c r="N1014" i="8"/>
  <c r="N1015" i="8"/>
  <c r="N1016" i="8"/>
  <c r="N1017" i="8"/>
  <c r="N1018" i="8"/>
  <c r="N1019" i="8"/>
  <c r="N1020" i="8"/>
  <c r="N1021" i="8"/>
  <c r="N1022" i="8"/>
  <c r="N1023" i="8"/>
  <c r="N1024" i="8"/>
  <c r="N1025" i="8"/>
  <c r="N1026" i="8"/>
  <c r="N1027" i="8"/>
  <c r="N1028" i="8"/>
  <c r="N1029" i="8"/>
  <c r="N1030" i="8"/>
  <c r="N1031" i="8"/>
  <c r="N1032" i="8"/>
  <c r="N1033" i="8"/>
  <c r="N1034" i="8"/>
  <c r="N1035" i="8"/>
  <c r="N1036" i="8"/>
  <c r="N1037" i="8"/>
  <c r="N1038" i="8"/>
  <c r="N1039" i="8"/>
  <c r="N1040" i="8"/>
  <c r="N1041" i="8"/>
  <c r="N1042" i="8"/>
  <c r="N1043" i="8"/>
  <c r="N1044" i="8"/>
  <c r="N1045" i="8"/>
  <c r="N1046" i="8"/>
  <c r="N1047" i="8"/>
  <c r="N1048" i="8"/>
  <c r="N1049" i="8"/>
  <c r="N1050" i="8"/>
  <c r="N1051" i="8"/>
  <c r="N1052" i="8"/>
  <c r="N1053" i="8"/>
  <c r="N1054" i="8"/>
  <c r="N1055" i="8"/>
  <c r="N1056" i="8"/>
  <c r="N1057" i="8"/>
  <c r="N1058" i="8"/>
  <c r="N1059" i="8"/>
  <c r="N1060" i="8"/>
  <c r="N1061" i="8"/>
  <c r="N1062" i="8"/>
  <c r="N1063" i="8"/>
  <c r="N1064" i="8"/>
  <c r="N1065" i="8"/>
  <c r="N1066" i="8"/>
  <c r="N1067" i="8"/>
  <c r="N1068" i="8"/>
  <c r="N1069" i="8"/>
  <c r="N1070" i="8"/>
  <c r="N1071" i="8"/>
  <c r="N1072" i="8"/>
  <c r="N1073" i="8"/>
  <c r="N1074" i="8"/>
  <c r="N1075" i="8"/>
  <c r="N1076" i="8"/>
  <c r="N1077" i="8"/>
  <c r="N1078" i="8"/>
  <c r="N1079" i="8"/>
  <c r="N1080" i="8"/>
  <c r="N1081" i="8"/>
  <c r="N1082" i="8"/>
  <c r="N1083" i="8"/>
  <c r="N1084" i="8"/>
  <c r="N1085" i="8"/>
  <c r="N1086" i="8"/>
  <c r="N1087" i="8"/>
  <c r="N1088" i="8"/>
  <c r="N1089" i="8"/>
  <c r="N1090" i="8"/>
  <c r="N1091" i="8"/>
  <c r="N1092" i="8"/>
  <c r="N1093" i="8"/>
  <c r="N1094" i="8"/>
  <c r="N1095" i="8"/>
  <c r="N1096" i="8"/>
  <c r="N1097" i="8"/>
  <c r="N1098" i="8"/>
  <c r="N1099" i="8"/>
  <c r="N1100" i="8"/>
  <c r="N1101" i="8"/>
  <c r="N1102" i="8"/>
  <c r="N1103" i="8"/>
  <c r="N1104" i="8"/>
  <c r="N1105" i="8"/>
  <c r="N1106" i="8"/>
  <c r="N1107" i="8"/>
  <c r="N1108" i="8"/>
  <c r="N1109" i="8"/>
  <c r="N1110" i="8"/>
  <c r="N1111" i="8"/>
  <c r="N1112" i="8"/>
  <c r="N1113" i="8"/>
  <c r="N1114" i="8"/>
  <c r="N1115" i="8"/>
  <c r="N1116" i="8"/>
  <c r="N1117" i="8"/>
  <c r="N1118" i="8"/>
  <c r="N1119" i="8"/>
  <c r="N1120" i="8"/>
  <c r="N1121" i="8"/>
  <c r="N1122" i="8"/>
  <c r="N1123" i="8"/>
  <c r="N1124" i="8"/>
  <c r="N1125" i="8"/>
  <c r="N1126" i="8"/>
  <c r="N1127" i="8"/>
  <c r="N1128" i="8"/>
  <c r="N1129" i="8"/>
  <c r="N1130" i="8"/>
  <c r="N1131" i="8"/>
  <c r="N1132" i="8"/>
  <c r="N1133" i="8"/>
  <c r="N1134" i="8"/>
  <c r="N1135" i="8"/>
  <c r="N1136" i="8"/>
  <c r="N1137" i="8"/>
  <c r="N1138" i="8"/>
  <c r="N1139" i="8"/>
  <c r="N1140" i="8"/>
  <c r="N1141" i="8"/>
  <c r="N1142" i="8"/>
  <c r="N1143" i="8"/>
  <c r="N1144" i="8"/>
  <c r="N1145" i="8"/>
  <c r="N1146" i="8"/>
  <c r="N1147" i="8"/>
  <c r="N1148" i="8"/>
  <c r="N1149" i="8"/>
  <c r="N1150" i="8"/>
  <c r="N1151" i="8"/>
  <c r="N1152" i="8"/>
  <c r="N1153" i="8"/>
  <c r="N1154" i="8"/>
  <c r="N1155" i="8"/>
  <c r="N1156" i="8"/>
  <c r="N1157" i="8"/>
  <c r="N1158" i="8"/>
  <c r="N1159" i="8"/>
  <c r="N1160" i="8"/>
  <c r="N1161" i="8"/>
  <c r="N1162" i="8"/>
  <c r="N1163" i="8"/>
  <c r="N1164" i="8"/>
  <c r="N1165" i="8"/>
  <c r="N1166" i="8"/>
  <c r="N1167" i="8"/>
  <c r="N1168" i="8"/>
  <c r="N1169" i="8"/>
  <c r="N1170" i="8"/>
  <c r="N1171" i="8"/>
  <c r="N1172" i="8"/>
  <c r="N1173" i="8"/>
  <c r="N1174" i="8"/>
  <c r="N1175" i="8"/>
  <c r="N1176" i="8"/>
  <c r="N1177" i="8"/>
  <c r="N1178" i="8"/>
  <c r="N1179" i="8"/>
  <c r="N1180" i="8"/>
  <c r="N1181" i="8"/>
  <c r="N1182" i="8"/>
  <c r="N1183" i="8"/>
  <c r="N1184" i="8"/>
  <c r="N1185" i="8"/>
  <c r="N1186" i="8"/>
  <c r="N1187" i="8"/>
  <c r="N1188" i="8"/>
  <c r="N1189" i="8"/>
  <c r="N1190" i="8"/>
  <c r="N1191" i="8"/>
  <c r="N1192" i="8"/>
  <c r="N1193" i="8"/>
  <c r="N1194" i="8"/>
  <c r="N1195" i="8"/>
  <c r="N1196" i="8"/>
  <c r="N1197" i="8"/>
  <c r="N1198" i="8"/>
  <c r="N1199" i="8"/>
  <c r="N1200" i="8"/>
  <c r="N1201" i="8"/>
  <c r="N1202" i="8"/>
  <c r="N1203" i="8"/>
  <c r="N1204" i="8"/>
  <c r="N1205" i="8"/>
  <c r="N1206" i="8"/>
  <c r="N1207" i="8"/>
  <c r="N1208" i="8"/>
  <c r="N1209" i="8"/>
  <c r="N1210" i="8"/>
  <c r="N1211" i="8"/>
  <c r="N1212" i="8"/>
  <c r="N1213" i="8"/>
  <c r="N1214" i="8"/>
  <c r="N1215" i="8"/>
  <c r="N1216" i="8"/>
  <c r="N1217" i="8"/>
  <c r="N1218" i="8"/>
  <c r="N1219" i="8"/>
  <c r="N1220" i="8"/>
  <c r="N1221" i="8"/>
  <c r="N1222" i="8"/>
  <c r="N1223" i="8"/>
  <c r="N1224" i="8"/>
  <c r="N1225" i="8"/>
  <c r="N1226" i="8"/>
  <c r="N1227" i="8"/>
  <c r="N1228" i="8"/>
  <c r="N1229" i="8"/>
  <c r="N1230" i="8"/>
  <c r="N1231" i="8"/>
  <c r="N1232" i="8"/>
  <c r="N1233" i="8"/>
  <c r="N1234" i="8"/>
  <c r="N1235" i="8"/>
  <c r="N1236" i="8"/>
  <c r="N1237" i="8"/>
  <c r="N1238" i="8"/>
  <c r="N1239" i="8"/>
  <c r="N1240" i="8"/>
  <c r="N1241" i="8"/>
  <c r="N1242" i="8"/>
  <c r="N1243" i="8"/>
  <c r="N1244" i="8"/>
  <c r="N1245" i="8"/>
  <c r="N1246" i="8"/>
  <c r="N1247" i="8"/>
  <c r="N1248" i="8"/>
  <c r="N1249" i="8"/>
  <c r="N1250" i="8"/>
  <c r="N1251" i="8"/>
  <c r="N1252" i="8"/>
  <c r="N1253" i="8"/>
  <c r="N1254" i="8"/>
  <c r="N1255" i="8"/>
  <c r="N1256" i="8"/>
  <c r="N1257" i="8"/>
  <c r="N1258" i="8"/>
  <c r="N1259" i="8"/>
  <c r="N1260" i="8"/>
  <c r="N1261" i="8"/>
  <c r="N1262" i="8"/>
  <c r="N1263" i="8"/>
  <c r="N1264" i="8"/>
  <c r="N1265" i="8"/>
  <c r="N1266" i="8"/>
  <c r="N1267" i="8"/>
  <c r="N1268" i="8"/>
  <c r="N1269" i="8"/>
  <c r="N1270" i="8"/>
  <c r="N1271" i="8"/>
  <c r="N1272" i="8"/>
  <c r="N1273" i="8"/>
  <c r="N1274" i="8"/>
  <c r="N1275" i="8"/>
  <c r="N1276" i="8"/>
  <c r="N1277" i="8"/>
  <c r="N1278" i="8"/>
  <c r="N1279" i="8"/>
  <c r="N1280" i="8"/>
  <c r="N1281" i="8"/>
  <c r="N1282" i="8"/>
  <c r="N1283" i="8"/>
  <c r="N1284" i="8"/>
  <c r="N1285" i="8"/>
  <c r="N1286" i="8"/>
  <c r="N1287" i="8"/>
  <c r="N1288" i="8"/>
  <c r="N1289" i="8"/>
  <c r="N1290" i="8"/>
  <c r="N1291" i="8"/>
  <c r="N1292" i="8"/>
  <c r="N1293" i="8"/>
  <c r="N1294" i="8"/>
  <c r="N1295" i="8"/>
  <c r="N1296" i="8"/>
  <c r="N1297" i="8"/>
  <c r="N1298" i="8"/>
  <c r="N1299" i="8"/>
  <c r="N1300" i="8"/>
  <c r="N1301" i="8"/>
  <c r="N1302" i="8"/>
  <c r="N1303" i="8"/>
  <c r="N1304" i="8"/>
  <c r="N1305" i="8"/>
  <c r="N1306" i="8"/>
  <c r="N1307" i="8"/>
  <c r="N1308" i="8"/>
  <c r="N1309" i="8"/>
  <c r="N1310" i="8"/>
  <c r="N1311" i="8"/>
  <c r="N1312" i="8"/>
  <c r="N1313" i="8"/>
  <c r="N1314" i="8"/>
  <c r="N1315" i="8"/>
  <c r="N1316" i="8"/>
  <c r="N1317" i="8"/>
  <c r="N1318" i="8"/>
  <c r="N1319" i="8"/>
  <c r="N1320" i="8"/>
  <c r="N1321" i="8"/>
  <c r="N1322" i="8"/>
  <c r="N1323" i="8"/>
  <c r="N1324" i="8"/>
  <c r="N1325" i="8"/>
  <c r="N1326" i="8"/>
  <c r="N1327" i="8"/>
  <c r="N1328" i="8"/>
  <c r="N1329" i="8"/>
  <c r="N1330" i="8"/>
  <c r="N1331" i="8"/>
  <c r="N1332" i="8"/>
  <c r="N1333" i="8"/>
  <c r="N1334" i="8"/>
  <c r="N1335" i="8"/>
  <c r="N1336" i="8"/>
  <c r="N1337" i="8"/>
  <c r="N1338" i="8"/>
  <c r="N1339" i="8"/>
  <c r="N1340" i="8"/>
  <c r="N1341" i="8"/>
  <c r="N1342" i="8"/>
  <c r="N1343" i="8"/>
  <c r="N1344" i="8"/>
  <c r="N1345" i="8"/>
  <c r="N1346" i="8"/>
  <c r="N1347" i="8"/>
  <c r="N1348" i="8"/>
  <c r="N1349" i="8"/>
  <c r="N1350" i="8"/>
  <c r="N1351" i="8"/>
  <c r="N1352" i="8"/>
  <c r="N1353" i="8"/>
  <c r="N1354" i="8"/>
  <c r="N1355" i="8"/>
  <c r="N1356" i="8"/>
  <c r="N1357" i="8"/>
  <c r="N1358" i="8"/>
  <c r="N1359" i="8"/>
  <c r="N1360" i="8"/>
  <c r="N1361" i="8"/>
  <c r="N1362" i="8"/>
  <c r="N1363" i="8"/>
  <c r="N1364" i="8"/>
  <c r="N1365" i="8"/>
  <c r="N1366" i="8"/>
  <c r="N1367" i="8"/>
  <c r="N1368" i="8"/>
  <c r="N1369" i="8"/>
  <c r="N1370" i="8"/>
  <c r="N1371" i="8"/>
  <c r="N1372" i="8"/>
  <c r="N1373" i="8"/>
  <c r="N1374" i="8"/>
  <c r="N1375" i="8"/>
  <c r="N1376" i="8"/>
  <c r="N1377" i="8"/>
  <c r="N1378" i="8"/>
  <c r="N1379" i="8"/>
  <c r="N1380" i="8"/>
  <c r="N1381" i="8"/>
  <c r="N1382" i="8"/>
  <c r="N1383" i="8"/>
  <c r="N1384" i="8"/>
  <c r="N1385" i="8"/>
  <c r="N1386" i="8"/>
  <c r="N1387" i="8"/>
  <c r="N1388" i="8"/>
  <c r="N1389" i="8"/>
  <c r="N1390" i="8"/>
  <c r="N1391" i="8"/>
  <c r="N1392" i="8"/>
  <c r="N1393" i="8"/>
  <c r="N1394" i="8"/>
  <c r="N1395" i="8"/>
  <c r="N1396" i="8"/>
  <c r="N1397" i="8"/>
  <c r="N1398" i="8"/>
  <c r="N1399" i="8"/>
  <c r="N1400" i="8"/>
  <c r="N1401" i="8"/>
  <c r="N1402" i="8"/>
  <c r="N1403" i="8"/>
  <c r="N1404" i="8"/>
  <c r="N1405" i="8"/>
  <c r="N1406" i="8"/>
  <c r="N1407" i="8"/>
  <c r="N1408" i="8"/>
  <c r="N1409" i="8"/>
  <c r="N1410" i="8"/>
  <c r="N1411" i="8"/>
  <c r="N1412" i="8"/>
  <c r="N1413" i="8"/>
  <c r="N1414" i="8"/>
  <c r="N1415" i="8"/>
  <c r="N1416" i="8"/>
  <c r="N1417" i="8"/>
  <c r="N1418" i="8"/>
  <c r="N1419" i="8"/>
  <c r="N1420" i="8"/>
  <c r="N1421" i="8"/>
  <c r="N1422" i="8"/>
  <c r="N1423" i="8"/>
  <c r="N1424" i="8"/>
  <c r="N1425" i="8"/>
  <c r="N1426" i="8"/>
  <c r="N1427" i="8"/>
  <c r="N1428" i="8"/>
  <c r="N1429" i="8"/>
  <c r="N1430" i="8"/>
  <c r="N1431" i="8"/>
  <c r="N1432" i="8"/>
  <c r="N1433" i="8"/>
  <c r="N1434" i="8"/>
  <c r="N1435" i="8"/>
  <c r="N1436" i="8"/>
  <c r="N1437" i="8"/>
  <c r="N1438" i="8"/>
  <c r="N1439" i="8"/>
  <c r="N1440" i="8"/>
  <c r="N1441" i="8"/>
  <c r="N1442" i="8"/>
  <c r="N1443" i="8"/>
  <c r="N1444" i="8"/>
  <c r="N1445" i="8"/>
  <c r="N1446" i="8"/>
  <c r="N1447" i="8"/>
  <c r="N1448" i="8"/>
  <c r="N1449" i="8"/>
  <c r="N1450" i="8"/>
  <c r="N1451" i="8"/>
  <c r="N1452" i="8"/>
  <c r="N1453" i="8"/>
  <c r="N1454" i="8"/>
  <c r="N1455" i="8"/>
  <c r="N1456" i="8"/>
  <c r="N1457" i="8"/>
  <c r="N1458" i="8"/>
  <c r="N1459" i="8"/>
  <c r="N1460" i="8"/>
  <c r="N1461" i="8"/>
  <c r="N1462" i="8"/>
  <c r="N1463" i="8"/>
  <c r="N1464" i="8"/>
  <c r="N1465" i="8"/>
  <c r="N1466" i="8"/>
  <c r="N1467" i="8"/>
  <c r="N1468" i="8"/>
  <c r="N1469" i="8"/>
  <c r="N1470" i="8"/>
  <c r="N1471" i="8"/>
  <c r="N1472" i="8"/>
  <c r="N1473" i="8"/>
  <c r="N1474" i="8"/>
  <c r="N1475" i="8"/>
  <c r="N1476" i="8"/>
  <c r="N1477" i="8"/>
  <c r="N1478" i="8"/>
  <c r="N1479" i="8"/>
  <c r="N1480" i="8"/>
  <c r="N1481" i="8"/>
  <c r="N1482" i="8"/>
  <c r="N1483" i="8"/>
  <c r="N1484" i="8"/>
  <c r="N1485" i="8"/>
  <c r="N1486" i="8"/>
  <c r="N1487" i="8"/>
  <c r="N1488" i="8"/>
  <c r="N1489" i="8"/>
  <c r="N1490" i="8"/>
  <c r="N1491" i="8"/>
  <c r="N1492" i="8"/>
  <c r="N1493" i="8"/>
  <c r="N1494" i="8"/>
  <c r="N1495" i="8"/>
  <c r="N1496" i="8"/>
  <c r="N1497" i="8"/>
  <c r="N1498" i="8"/>
  <c r="N1499" i="8"/>
  <c r="N1500" i="8"/>
  <c r="N1501" i="8"/>
  <c r="N1502" i="8"/>
  <c r="N1503" i="8"/>
  <c r="N1504" i="8"/>
  <c r="N1505" i="8"/>
  <c r="N1506" i="8"/>
  <c r="N1507" i="8"/>
  <c r="N1508" i="8"/>
  <c r="N1509" i="8"/>
  <c r="N1510" i="8"/>
  <c r="N1511" i="8"/>
  <c r="N1512" i="8"/>
  <c r="N1513" i="8"/>
  <c r="N1514" i="8"/>
  <c r="N1515" i="8"/>
  <c r="N1516" i="8"/>
  <c r="N1517" i="8"/>
  <c r="N1518" i="8"/>
  <c r="N1519" i="8"/>
  <c r="N1520" i="8"/>
  <c r="N1521" i="8"/>
  <c r="N1522" i="8"/>
  <c r="N1523" i="8"/>
  <c r="N1524" i="8"/>
  <c r="N1525" i="8"/>
  <c r="N1526" i="8"/>
  <c r="N1527" i="8"/>
  <c r="N1528" i="8"/>
  <c r="N1529" i="8"/>
  <c r="N1530" i="8"/>
  <c r="N1531" i="8"/>
  <c r="N1532" i="8"/>
  <c r="N1533" i="8"/>
  <c r="N1534" i="8"/>
  <c r="N1535" i="8"/>
  <c r="N1536" i="8"/>
  <c r="N1537" i="8"/>
  <c r="N1538" i="8"/>
  <c r="N1539" i="8"/>
  <c r="N1540" i="8"/>
  <c r="N1541" i="8"/>
  <c r="N1542" i="8"/>
  <c r="N1543" i="8"/>
  <c r="N1544" i="8"/>
  <c r="N1545" i="8"/>
  <c r="N1546" i="8"/>
  <c r="N1547" i="8"/>
  <c r="N1548" i="8"/>
  <c r="N1549" i="8"/>
  <c r="N1550" i="8"/>
  <c r="N1551" i="8"/>
  <c r="N1552" i="8"/>
  <c r="N1553" i="8"/>
  <c r="N1554" i="8"/>
  <c r="N1555" i="8"/>
  <c r="N1556" i="8"/>
  <c r="N1557" i="8"/>
  <c r="N1558" i="8"/>
  <c r="N1559" i="8"/>
  <c r="N1560" i="8"/>
  <c r="N1561" i="8"/>
  <c r="N1562" i="8"/>
  <c r="N1563" i="8"/>
  <c r="N1564" i="8"/>
  <c r="N1565" i="8"/>
  <c r="N1566" i="8"/>
  <c r="N1567" i="8"/>
  <c r="N1568" i="8"/>
  <c r="N1569" i="8"/>
  <c r="N1570" i="8"/>
  <c r="N1571" i="8"/>
  <c r="N1572" i="8"/>
  <c r="N1573" i="8"/>
  <c r="N1574" i="8"/>
  <c r="N1575" i="8"/>
  <c r="N1576" i="8"/>
  <c r="N1577" i="8"/>
  <c r="N1578" i="8"/>
  <c r="N1579" i="8"/>
  <c r="N1580" i="8"/>
  <c r="N1581" i="8"/>
  <c r="N1582" i="8"/>
  <c r="N1583" i="8"/>
  <c r="N1584" i="8"/>
  <c r="N1585" i="8"/>
  <c r="N1586" i="8"/>
  <c r="N1587" i="8"/>
  <c r="N1588" i="8"/>
  <c r="N1589" i="8"/>
  <c r="N1590" i="8"/>
  <c r="N1591" i="8"/>
  <c r="N1592" i="8"/>
  <c r="N1593" i="8"/>
  <c r="N1594" i="8"/>
  <c r="N1595" i="8"/>
  <c r="N1596" i="8"/>
  <c r="N1597" i="8"/>
  <c r="N1598" i="8"/>
  <c r="N1599" i="8"/>
  <c r="N1600" i="8"/>
  <c r="N1601" i="8"/>
  <c r="N1602" i="8"/>
  <c r="N1603" i="8"/>
  <c r="N1604" i="8"/>
  <c r="N1605" i="8"/>
  <c r="N1606" i="8"/>
  <c r="N1607" i="8"/>
  <c r="N1608" i="8"/>
  <c r="N1609" i="8"/>
  <c r="N1610" i="8"/>
  <c r="N1611" i="8"/>
  <c r="N1612" i="8"/>
  <c r="N1613" i="8"/>
  <c r="N1614" i="8"/>
  <c r="N1615" i="8"/>
  <c r="N1616" i="8"/>
  <c r="N1617" i="8"/>
  <c r="N1618" i="8"/>
  <c r="N1619" i="8"/>
  <c r="N1620" i="8"/>
  <c r="N1621" i="8"/>
  <c r="N1622" i="8"/>
  <c r="N1623" i="8"/>
  <c r="N1624" i="8"/>
  <c r="N1625" i="8"/>
  <c r="N1626" i="8"/>
  <c r="N1627" i="8"/>
  <c r="N1628" i="8"/>
  <c r="N1629" i="8"/>
  <c r="N1630" i="8"/>
  <c r="N1631" i="8"/>
  <c r="N1632" i="8"/>
  <c r="N1633" i="8"/>
  <c r="N1634" i="8"/>
  <c r="N1635" i="8"/>
  <c r="N1636" i="8"/>
  <c r="N1637" i="8"/>
  <c r="N1638" i="8"/>
  <c r="N1639" i="8"/>
  <c r="N1640" i="8"/>
  <c r="N1641" i="8"/>
  <c r="N1642" i="8"/>
  <c r="N1643" i="8"/>
  <c r="N1644" i="8"/>
  <c r="N1645" i="8"/>
  <c r="N1646" i="8"/>
  <c r="N1647" i="8"/>
  <c r="N1648" i="8"/>
  <c r="N1649" i="8"/>
  <c r="N1650" i="8"/>
  <c r="N1651" i="8"/>
  <c r="N1652" i="8"/>
  <c r="N1653" i="8"/>
  <c r="N1654" i="8"/>
  <c r="N1655" i="8"/>
  <c r="N1656" i="8"/>
  <c r="N1657" i="8"/>
  <c r="N1658" i="8"/>
  <c r="N1659" i="8"/>
  <c r="N1660" i="8"/>
  <c r="N1661" i="8"/>
  <c r="N1662" i="8"/>
  <c r="N1663" i="8"/>
  <c r="N1664" i="8"/>
  <c r="N1665" i="8"/>
  <c r="N1666" i="8"/>
  <c r="N1667" i="8"/>
  <c r="N1668" i="8"/>
  <c r="N1669" i="8"/>
  <c r="N1670" i="8"/>
  <c r="N1671" i="8"/>
  <c r="N1672" i="8"/>
  <c r="N1673" i="8"/>
  <c r="N1674" i="8"/>
  <c r="N1675" i="8"/>
  <c r="N1676" i="8"/>
  <c r="N1677" i="8"/>
  <c r="N1678" i="8"/>
  <c r="N1679" i="8"/>
  <c r="N1680" i="8"/>
  <c r="N1681" i="8"/>
  <c r="N1682" i="8"/>
  <c r="N1683" i="8"/>
  <c r="N1684" i="8"/>
  <c r="N1685" i="8"/>
  <c r="N1686" i="8"/>
  <c r="N1687" i="8"/>
  <c r="N1688" i="8"/>
  <c r="N1689" i="8"/>
  <c r="N1690" i="8"/>
  <c r="N1691" i="8"/>
  <c r="N1692" i="8"/>
  <c r="N1693" i="8"/>
  <c r="N1694" i="8"/>
  <c r="N1695" i="8"/>
  <c r="N1696" i="8"/>
  <c r="N1697" i="8"/>
  <c r="N1698" i="8"/>
  <c r="N1699" i="8"/>
  <c r="N1700" i="8"/>
  <c r="N1701" i="8"/>
  <c r="N1702" i="8"/>
  <c r="N1703" i="8"/>
  <c r="N1704" i="8"/>
  <c r="N1705" i="8"/>
  <c r="N1706" i="8"/>
  <c r="N1707" i="8"/>
  <c r="N1708" i="8"/>
  <c r="N1709" i="8"/>
  <c r="N1710" i="8"/>
  <c r="N1711" i="8"/>
  <c r="N1712" i="8"/>
  <c r="N1713" i="8"/>
  <c r="N1714" i="8"/>
  <c r="N1715" i="8"/>
  <c r="N1716" i="8"/>
  <c r="N1717" i="8"/>
  <c r="N1718" i="8"/>
  <c r="N1719" i="8"/>
  <c r="N1720" i="8"/>
  <c r="N1721" i="8"/>
  <c r="N1722" i="8"/>
  <c r="N1723" i="8"/>
  <c r="N1724" i="8"/>
  <c r="N1725" i="8"/>
  <c r="N1726" i="8"/>
  <c r="N1727" i="8"/>
  <c r="N1728" i="8"/>
  <c r="N1729" i="8"/>
  <c r="N1730" i="8"/>
  <c r="N1731" i="8"/>
  <c r="N1732" i="8"/>
  <c r="N1733" i="8"/>
  <c r="N1734" i="8"/>
  <c r="N113" i="8"/>
  <c r="N116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5" i="8"/>
  <c r="J106" i="8"/>
  <c r="M106" i="8"/>
  <c r="K1783" i="8" l="1"/>
  <c r="L1730" i="8"/>
  <c r="K1730" i="8"/>
  <c r="K1599" i="8"/>
  <c r="L1599" i="8"/>
  <c r="K1523" i="8"/>
  <c r="L1523" i="8"/>
  <c r="K1378" i="8"/>
  <c r="L1378" i="8"/>
  <c r="K405" i="8"/>
  <c r="K1017" i="8"/>
  <c r="K1009" i="8"/>
  <c r="K1002" i="8"/>
  <c r="K811" i="8"/>
  <c r="K692" i="8"/>
  <c r="K524" i="8"/>
  <c r="K477" i="8"/>
  <c r="L477" i="8"/>
  <c r="K429" i="8"/>
  <c r="K379" i="8"/>
  <c r="K368" i="8"/>
  <c r="L341" i="8"/>
  <c r="K341" i="8"/>
  <c r="K295" i="8"/>
  <c r="K285" i="8"/>
  <c r="K243" i="8"/>
  <c r="K237" i="8"/>
  <c r="K221" i="8"/>
  <c r="K216" i="8"/>
  <c r="K209" i="8"/>
  <c r="K201" i="8"/>
  <c r="K190" i="8"/>
  <c r="K146" i="8"/>
  <c r="K133" i="8"/>
  <c r="L133" i="8"/>
  <c r="L129" i="8" s="1"/>
  <c r="L696" i="8"/>
  <c r="K340" i="8" l="1"/>
  <c r="K129" i="8"/>
  <c r="K141" i="8"/>
  <c r="K473" i="8"/>
  <c r="L1870" i="8"/>
  <c r="M1763" i="8"/>
  <c r="M1764" i="8"/>
  <c r="M1765" i="8"/>
  <c r="M1766" i="8"/>
  <c r="M1767" i="8"/>
  <c r="M1768" i="8"/>
  <c r="M1769" i="8"/>
  <c r="M1799" i="8"/>
  <c r="M1840" i="8"/>
  <c r="M1841" i="8"/>
  <c r="M1843" i="8"/>
  <c r="M1853" i="8"/>
  <c r="M1854" i="8"/>
  <c r="M1855" i="8"/>
  <c r="L257" i="8"/>
  <c r="L173" i="8" l="1"/>
  <c r="L6" i="8"/>
  <c r="L1347" i="8" l="1"/>
  <c r="L1114" i="8" l="1"/>
  <c r="L1098" i="8" l="1"/>
  <c r="L1091" i="8" s="1"/>
  <c r="L1017" i="8" l="1"/>
  <c r="L123" i="8" l="1"/>
  <c r="L124" i="8"/>
  <c r="K126" i="8"/>
  <c r="L1030" i="8" l="1"/>
  <c r="L367" i="8" l="1"/>
  <c r="L1188" i="8" l="1"/>
  <c r="K1148" i="8"/>
  <c r="L1148" i="8"/>
  <c r="L403" i="8"/>
  <c r="M593" i="8"/>
  <c r="M592" i="8"/>
  <c r="M591" i="8"/>
  <c r="M590" i="8"/>
  <c r="M589" i="8"/>
  <c r="L587" i="8"/>
  <c r="L585" i="8" s="1"/>
  <c r="I587" i="8"/>
  <c r="G587" i="8"/>
  <c r="F587" i="8"/>
  <c r="K974" i="8"/>
  <c r="L974" i="8"/>
  <c r="K927" i="8"/>
  <c r="L927" i="8"/>
  <c r="K949" i="8"/>
  <c r="K903" i="8"/>
  <c r="L903" i="8"/>
  <c r="K348" i="8"/>
  <c r="L348" i="8"/>
  <c r="L347" i="8" s="1"/>
  <c r="L306" i="8"/>
  <c r="K900" i="8" l="1"/>
  <c r="K347" i="8"/>
  <c r="K946" i="8"/>
  <c r="K924" i="8"/>
  <c r="K971" i="8"/>
  <c r="M586" i="8"/>
  <c r="J587" i="8"/>
  <c r="M588" i="8"/>
  <c r="H587" i="8"/>
  <c r="M585" i="8" l="1"/>
  <c r="M587" i="8"/>
  <c r="L168" i="8"/>
  <c r="L126" i="8" s="1"/>
  <c r="L146" i="8"/>
  <c r="L1839" i="8"/>
  <c r="L1794" i="8" l="1"/>
  <c r="L1308" i="8" l="1"/>
  <c r="L1304" i="8" s="1"/>
  <c r="M1449" i="8" l="1"/>
  <c r="M1461" i="8"/>
  <c r="M1482" i="8"/>
  <c r="M1485" i="8"/>
  <c r="M1500" i="8"/>
  <c r="M1503" i="8"/>
  <c r="M1546" i="8"/>
  <c r="M1547" i="8"/>
  <c r="M1553" i="8"/>
  <c r="M1555" i="8"/>
  <c r="M1589" i="8"/>
  <c r="M1592" i="8"/>
  <c r="M1593" i="8"/>
  <c r="M1594" i="8"/>
  <c r="M1633" i="8"/>
  <c r="M1638" i="8"/>
  <c r="M1639" i="8"/>
  <c r="M1640" i="8"/>
  <c r="M1641" i="8"/>
  <c r="M1644" i="8"/>
  <c r="M1645" i="8"/>
  <c r="M1652" i="8"/>
  <c r="M1656" i="8"/>
  <c r="M1657" i="8"/>
  <c r="M1690" i="8"/>
  <c r="M1710" i="8"/>
  <c r="L1407" i="8"/>
  <c r="L1174" i="8"/>
  <c r="L1242" i="8"/>
  <c r="L1235" i="8" s="1"/>
  <c r="L776" i="8"/>
  <c r="L641" i="8"/>
  <c r="L634" i="8" s="1"/>
  <c r="L469" i="8"/>
  <c r="L221" i="8" l="1"/>
  <c r="L219" i="8" s="1"/>
  <c r="L161" i="8" l="1"/>
  <c r="L28" i="8" l="1"/>
  <c r="L1029" i="8" l="1"/>
  <c r="L1785" i="8"/>
  <c r="K77" i="8"/>
  <c r="L937" i="8" l="1"/>
  <c r="L666" i="8"/>
  <c r="L659" i="8" s="1"/>
  <c r="L368" i="8"/>
  <c r="L252" i="8"/>
  <c r="K236" i="8"/>
  <c r="L237" i="8"/>
  <c r="H240" i="8"/>
  <c r="J240" i="8" s="1"/>
  <c r="H238" i="8"/>
  <c r="J238" i="8" s="1"/>
  <c r="L236" i="8" l="1"/>
  <c r="L405" i="8" l="1"/>
  <c r="L524" i="8"/>
  <c r="L522" i="8" s="1"/>
  <c r="L480" i="8" l="1"/>
  <c r="L956" i="8" l="1"/>
  <c r="L949" i="8" s="1"/>
  <c r="L1050" i="8"/>
  <c r="L1039" i="8" s="1"/>
  <c r="L1163" i="8" l="1"/>
  <c r="L1247" i="8" l="1"/>
  <c r="L1279" i="8" l="1"/>
  <c r="L1272" i="8" s="1"/>
  <c r="K1687" i="8" l="1"/>
  <c r="L1687" i="8"/>
  <c r="I1643" i="8"/>
  <c r="J1643" i="8"/>
  <c r="H1643" i="8"/>
  <c r="L1551" i="8"/>
  <c r="K1632" i="8"/>
  <c r="L1632" i="8"/>
  <c r="M1643" i="8" l="1"/>
  <c r="K1685" i="8"/>
  <c r="L1685" i="8"/>
  <c r="L1588" i="8"/>
  <c r="K1588" i="8"/>
  <c r="L1719" i="8"/>
  <c r="L1716" i="8"/>
  <c r="L1728" i="8" l="1"/>
  <c r="L1727" i="8" s="1"/>
  <c r="L141" i="8"/>
  <c r="L243" i="8" l="1"/>
  <c r="L280" i="8" l="1"/>
  <c r="L295" i="8"/>
  <c r="M310" i="8"/>
  <c r="M309" i="8"/>
  <c r="M308" i="8"/>
  <c r="M307" i="8"/>
  <c r="M306" i="8"/>
  <c r="L305" i="8"/>
  <c r="K305" i="8"/>
  <c r="J305" i="8"/>
  <c r="I305" i="8"/>
  <c r="I303" i="8" s="1"/>
  <c r="H305" i="8"/>
  <c r="G305" i="8"/>
  <c r="G303" i="8" s="1"/>
  <c r="F305" i="8"/>
  <c r="F303" i="8" s="1"/>
  <c r="H304" i="8"/>
  <c r="J304" i="8" s="1"/>
  <c r="K303" i="8" l="1"/>
  <c r="M305" i="8"/>
  <c r="H303" i="8"/>
  <c r="J303" i="8"/>
  <c r="M304" i="8"/>
  <c r="L303" i="8"/>
  <c r="M303" i="8" l="1"/>
  <c r="L379" i="8" l="1"/>
  <c r="K390" i="8" l="1"/>
  <c r="L390" i="8"/>
  <c r="L1011" i="8"/>
  <c r="K389" i="8" l="1"/>
  <c r="K1454" i="8"/>
  <c r="L1454" i="8"/>
  <c r="L1453" i="8" s="1"/>
  <c r="K1352" i="8"/>
  <c r="K1453" i="8" l="1"/>
  <c r="K1091" i="8"/>
  <c r="K1498" i="8" l="1"/>
  <c r="L1498" i="8"/>
  <c r="K1308" i="8"/>
  <c r="K1304" i="8" l="1"/>
  <c r="K1272" i="8"/>
  <c r="L1472" i="8" l="1"/>
  <c r="K1235" i="8"/>
  <c r="K1174" i="8" l="1"/>
  <c r="K1704" i="8" l="1"/>
  <c r="L1704" i="8"/>
  <c r="L1642" i="8"/>
  <c r="M1374" i="8"/>
  <c r="M1299" i="8"/>
  <c r="J236" i="8"/>
  <c r="I236" i="8"/>
  <c r="H236" i="8"/>
  <c r="G236" i="8"/>
  <c r="F236" i="8"/>
  <c r="K541" i="8"/>
  <c r="L541" i="8"/>
  <c r="K537" i="8" l="1"/>
  <c r="L1014" i="8" l="1"/>
  <c r="M920" i="8" l="1"/>
  <c r="L882" i="8" l="1"/>
  <c r="L790" i="8" l="1"/>
  <c r="L768" i="8" l="1"/>
  <c r="K634" i="8" l="1"/>
  <c r="K630" i="8" l="1"/>
  <c r="M282" i="8"/>
  <c r="M314" i="8"/>
  <c r="M315" i="8"/>
  <c r="M316" i="8"/>
  <c r="M317" i="8"/>
  <c r="M318" i="8"/>
  <c r="M319" i="8"/>
  <c r="M320" i="8"/>
  <c r="M326" i="8"/>
  <c r="M328" i="8"/>
  <c r="M385" i="8"/>
  <c r="M386" i="8"/>
  <c r="M388" i="8"/>
  <c r="M608" i="8"/>
  <c r="M657" i="8"/>
  <c r="M680" i="8"/>
  <c r="M681" i="8"/>
  <c r="M699" i="8"/>
  <c r="M710" i="8"/>
  <c r="M874" i="8"/>
  <c r="M875" i="8"/>
  <c r="M883" i="8"/>
  <c r="M1032" i="8"/>
  <c r="K701" i="8" l="1"/>
  <c r="K682" i="8"/>
  <c r="L682" i="8"/>
  <c r="K601" i="8"/>
  <c r="L601" i="8"/>
  <c r="L597" i="8" s="1"/>
  <c r="G279" i="8"/>
  <c r="I279" i="8"/>
  <c r="K279" i="8"/>
  <c r="L279" i="8"/>
  <c r="G280" i="8"/>
  <c r="I280" i="8"/>
  <c r="K280" i="8"/>
  <c r="F280" i="8"/>
  <c r="F279" i="8"/>
  <c r="F313" i="8"/>
  <c r="K679" i="8" l="1"/>
  <c r="K597" i="8"/>
  <c r="K698" i="8"/>
  <c r="H313" i="8"/>
  <c r="L313" i="8"/>
  <c r="K313" i="8"/>
  <c r="I313" i="8"/>
  <c r="I311" i="8" s="1"/>
  <c r="G313" i="8"/>
  <c r="G311" i="8" s="1"/>
  <c r="F311" i="8"/>
  <c r="H312" i="8"/>
  <c r="K331" i="8"/>
  <c r="M176" i="8"/>
  <c r="M177" i="8"/>
  <c r="M179" i="8"/>
  <c r="M185" i="8"/>
  <c r="M187" i="8"/>
  <c r="L196" i="8"/>
  <c r="K330" i="8" l="1"/>
  <c r="K311" i="8"/>
  <c r="L311" i="8"/>
  <c r="J313" i="8"/>
  <c r="M313" i="8" s="1"/>
  <c r="H311" i="8"/>
  <c r="J312" i="8"/>
  <c r="F56" i="8"/>
  <c r="G56" i="8"/>
  <c r="I56" i="8"/>
  <c r="K56" i="8"/>
  <c r="L56" i="8"/>
  <c r="F47" i="8"/>
  <c r="G47" i="8"/>
  <c r="I47" i="8"/>
  <c r="K47" i="8"/>
  <c r="L47" i="8"/>
  <c r="L36" i="8"/>
  <c r="F36" i="8"/>
  <c r="G36" i="8"/>
  <c r="I36" i="8"/>
  <c r="K36" i="8"/>
  <c r="M312" i="8" l="1"/>
  <c r="J311" i="8"/>
  <c r="M311" i="8" s="1"/>
  <c r="M46" i="8"/>
  <c r="L10" i="8" l="1"/>
  <c r="L8" i="8" s="1"/>
  <c r="L1868" i="8"/>
  <c r="L1783" i="8"/>
  <c r="L1771" i="8"/>
  <c r="L1741" i="8"/>
  <c r="L1725" i="8"/>
  <c r="L1713" i="8"/>
  <c r="L1702" i="8"/>
  <c r="L1700" i="8"/>
  <c r="L1698" i="8"/>
  <c r="L1696" i="8"/>
  <c r="L1678" i="8"/>
  <c r="L1674" i="8"/>
  <c r="L1662" i="8"/>
  <c r="L1659" i="8"/>
  <c r="L1647" i="8"/>
  <c r="L1613" i="8"/>
  <c r="L1595" i="8"/>
  <c r="L1576" i="8"/>
  <c r="L1570" i="8"/>
  <c r="L1556" i="8"/>
  <c r="L1542" i="8"/>
  <c r="L1530" i="8"/>
  <c r="L1510" i="8"/>
  <c r="L1489" i="8"/>
  <c r="L1442" i="8"/>
  <c r="L1436" i="8"/>
  <c r="L1425" i="8"/>
  <c r="L1412" i="8"/>
  <c r="L1406" i="8"/>
  <c r="L1394" i="8"/>
  <c r="L1377" i="8"/>
  <c r="L1375" i="8"/>
  <c r="L1352" i="8"/>
  <c r="L1348" i="8" s="1"/>
  <c r="L1344" i="8"/>
  <c r="L1340" i="8"/>
  <c r="L1336" i="8"/>
  <c r="L1332" i="8"/>
  <c r="L1300" i="8"/>
  <c r="L1295" i="8"/>
  <c r="L1264" i="8"/>
  <c r="L1262" i="8"/>
  <c r="L1258" i="8"/>
  <c r="L1227" i="8"/>
  <c r="L1223" i="8"/>
  <c r="L1200" i="8"/>
  <c r="L1145" i="8"/>
  <c r="L1140" i="8"/>
  <c r="L1118" i="8"/>
  <c r="L1066" i="8"/>
  <c r="L1013" i="8"/>
  <c r="L1009" i="8"/>
  <c r="L1001" i="8"/>
  <c r="L995" i="8"/>
  <c r="L971" i="8"/>
  <c r="L900" i="8"/>
  <c r="L891" i="8"/>
  <c r="L872" i="8"/>
  <c r="L868" i="8" s="1"/>
  <c r="L854" i="8"/>
  <c r="L840" i="8"/>
  <c r="L819" i="8"/>
  <c r="L811" i="8"/>
  <c r="L799" i="8"/>
  <c r="L753" i="8"/>
  <c r="L735" i="8"/>
  <c r="L718" i="8"/>
  <c r="L702" i="8"/>
  <c r="L679" i="8"/>
  <c r="L616" i="8"/>
  <c r="L613" i="8" s="1"/>
  <c r="L566" i="8"/>
  <c r="L518" i="8"/>
  <c r="L496" i="8"/>
  <c r="L488" i="8"/>
  <c r="L465" i="8"/>
  <c r="L444" i="8"/>
  <c r="L440" i="8" s="1"/>
  <c r="L429" i="8"/>
  <c r="L410" i="8"/>
  <c r="L402" i="8"/>
  <c r="L389" i="8"/>
  <c r="L378" i="8"/>
  <c r="L324" i="8"/>
  <c r="L331" i="8"/>
  <c r="L330" i="8" s="1"/>
  <c r="L323" i="8"/>
  <c r="L285" i="8"/>
  <c r="L281" i="8" s="1"/>
  <c r="L241" i="8"/>
  <c r="L231" i="8"/>
  <c r="L216" i="8"/>
  <c r="L209" i="8"/>
  <c r="L201" i="8"/>
  <c r="L198" i="8"/>
  <c r="L116" i="8" s="1"/>
  <c r="L195" i="8"/>
  <c r="L190" i="8"/>
  <c r="L184" i="8"/>
  <c r="L180" i="8"/>
  <c r="L178" i="8"/>
  <c r="L169" i="8"/>
  <c r="L167" i="8"/>
  <c r="L125" i="8"/>
  <c r="L97" i="8"/>
  <c r="L77" i="8"/>
  <c r="L5" i="8"/>
  <c r="F1713" i="8"/>
  <c r="F1711" i="8" s="1"/>
  <c r="F753" i="8"/>
  <c r="G753" i="8"/>
  <c r="F221" i="8"/>
  <c r="L1862" i="8" l="1"/>
  <c r="L1550" i="8"/>
  <c r="L1661" i="8"/>
  <c r="L1711" i="8"/>
  <c r="L1597" i="8"/>
  <c r="L1508" i="8"/>
  <c r="L1063" i="8"/>
  <c r="L1390" i="8"/>
  <c r="L1387" i="8" s="1"/>
  <c r="L1527" i="8"/>
  <c r="L1653" i="8"/>
  <c r="L1088" i="8"/>
  <c r="L1658" i="8"/>
  <c r="L1469" i="8"/>
  <c r="L1115" i="8"/>
  <c r="L1610" i="8"/>
  <c r="L1139" i="8"/>
  <c r="L1302" i="8"/>
  <c r="L1567" i="8"/>
  <c r="L1554" i="8" s="1"/>
  <c r="L1171" i="8"/>
  <c r="L1196" i="8"/>
  <c r="L1586" i="8"/>
  <c r="L1540" i="8"/>
  <c r="L1496" i="8"/>
  <c r="L1487" i="8"/>
  <c r="L1440" i="8"/>
  <c r="L1422" i="8"/>
  <c r="L1409" i="8"/>
  <c r="L1346" i="8"/>
  <c r="L1338" i="8"/>
  <c r="L1330" i="8"/>
  <c r="L1293" i="8"/>
  <c r="L1256" i="8"/>
  <c r="L1231" i="8"/>
  <c r="L1229" i="8" s="1"/>
  <c r="L1221" i="8"/>
  <c r="L677" i="8"/>
  <c r="L850" i="8"/>
  <c r="L340" i="8"/>
  <c r="L339" i="8" s="1"/>
  <c r="L473" i="8"/>
  <c r="L701" i="8"/>
  <c r="L698" i="8" s="1"/>
  <c r="L714" i="8"/>
  <c r="L924" i="8"/>
  <c r="L492" i="8"/>
  <c r="L731" i="8"/>
  <c r="L946" i="8"/>
  <c r="L293" i="8"/>
  <c r="L692" i="8"/>
  <c r="L515" i="8"/>
  <c r="L749" i="8"/>
  <c r="L1036" i="8"/>
  <c r="L1033" i="8" s="1"/>
  <c r="L772" i="8"/>
  <c r="L383" i="8"/>
  <c r="L537" i="8"/>
  <c r="L535" i="8" s="1"/>
  <c r="L795" i="8"/>
  <c r="L1000" i="8"/>
  <c r="L427" i="8"/>
  <c r="L888" i="8"/>
  <c r="L562" i="8"/>
  <c r="L809" i="8"/>
  <c r="L1007" i="8"/>
  <c r="L815" i="8"/>
  <c r="L408" i="8"/>
  <c r="L836" i="8"/>
  <c r="L1015" i="8"/>
  <c r="L283" i="8"/>
  <c r="L188" i="8"/>
  <c r="L199" i="8"/>
  <c r="L175" i="8"/>
  <c r="L174" i="8"/>
  <c r="L208" i="8"/>
  <c r="L215" i="8"/>
  <c r="L230" i="8"/>
  <c r="L197" i="8" s="1"/>
  <c r="L1268" i="8"/>
  <c r="L630" i="8"/>
  <c r="L655" i="8"/>
  <c r="L595" i="8"/>
  <c r="L186" i="8"/>
  <c r="L366" i="8"/>
  <c r="L93" i="8"/>
  <c r="L172" i="8"/>
  <c r="L114" i="8"/>
  <c r="L404" i="8" l="1"/>
  <c r="L1655" i="8"/>
  <c r="L1646" i="8"/>
  <c r="L1575" i="8"/>
  <c r="L1506" i="8"/>
  <c r="L1031" i="8"/>
  <c r="L194" i="8"/>
  <c r="L277" i="8"/>
  <c r="L1552" i="8"/>
  <c r="L1112" i="8"/>
  <c r="L1143" i="8"/>
  <c r="L1525" i="8"/>
  <c r="L1086" i="8"/>
  <c r="L1467" i="8"/>
  <c r="L1194" i="8"/>
  <c r="L1607" i="8"/>
  <c r="L1169" i="8"/>
  <c r="L1060" i="8"/>
  <c r="L113" i="8"/>
  <c r="L1451" i="8"/>
  <c r="L1438" i="8"/>
  <c r="L1266" i="8"/>
  <c r="L325" i="8"/>
  <c r="L387" i="8"/>
  <c r="L998" i="8"/>
  <c r="L628" i="8"/>
  <c r="L793" i="8"/>
  <c r="L653" i="8"/>
  <c r="L278" i="8"/>
  <c r="L944" i="8"/>
  <c r="L848" i="8"/>
  <c r="L690" i="8"/>
  <c r="L969" i="8"/>
  <c r="L813" i="8"/>
  <c r="L560" i="8"/>
  <c r="L345" i="8"/>
  <c r="L711" i="8"/>
  <c r="L729" i="8"/>
  <c r="L747" i="8"/>
  <c r="L898" i="8"/>
  <c r="L922" i="8"/>
  <c r="L406" i="8"/>
  <c r="L866" i="8"/>
  <c r="L490" i="8"/>
  <c r="L834" i="8"/>
  <c r="L250" i="8"/>
  <c r="L886" i="8"/>
  <c r="L438" i="8"/>
  <c r="L327" i="8"/>
  <c r="L770" i="8"/>
  <c r="L471" i="8"/>
  <c r="L611" i="8"/>
  <c r="L183" i="8"/>
  <c r="L182" i="8"/>
  <c r="L127" i="8"/>
  <c r="L138" i="8"/>
  <c r="L228" i="8"/>
  <c r="L76" i="8"/>
  <c r="L105" i="8" s="1"/>
  <c r="L119" i="8" l="1"/>
  <c r="L1549" i="8"/>
  <c r="L384" i="8"/>
  <c r="L1548" i="8"/>
  <c r="L401" i="8"/>
  <c r="L322" i="8"/>
  <c r="L193" i="8"/>
  <c r="L1027" i="8"/>
  <c r="L321" i="8"/>
  <c r="L695" i="8"/>
  <c r="L400" i="8" s="1"/>
  <c r="L1028" i="8"/>
  <c r="L122" i="8"/>
  <c r="L121" i="8"/>
  <c r="L115" i="8"/>
  <c r="L112" i="8" l="1"/>
  <c r="K93" i="8"/>
  <c r="L118" i="8" l="1"/>
  <c r="L111" i="8"/>
  <c r="L1735" i="8"/>
  <c r="K123" i="8"/>
  <c r="L120" i="8" l="1"/>
  <c r="L1736" i="8"/>
  <c r="I1805" i="8"/>
  <c r="L1863" i="8" l="1"/>
  <c r="K124" i="8"/>
  <c r="I579" i="8"/>
  <c r="I1852" i="8"/>
  <c r="I1851" i="8"/>
  <c r="L1871" i="8" l="1"/>
  <c r="J1852" i="8"/>
  <c r="J1851" i="8"/>
  <c r="M1852" i="8" l="1"/>
  <c r="M1851" i="8"/>
  <c r="I1662" i="8"/>
  <c r="J397" i="8" l="1"/>
  <c r="I390" i="8"/>
  <c r="I346" i="8"/>
  <c r="I696" i="8"/>
  <c r="I1290" i="8"/>
  <c r="I1347" i="8"/>
  <c r="M397" i="8" l="1"/>
  <c r="I32" i="8"/>
  <c r="G96" i="8" l="1"/>
  <c r="I10" i="8"/>
  <c r="I1790" i="8" l="1"/>
  <c r="I1230" i="8"/>
  <c r="I140" i="8" l="1"/>
  <c r="I124" i="8" s="1"/>
  <c r="I1802" i="8" l="1"/>
  <c r="I1842" i="8"/>
  <c r="J1814" i="8"/>
  <c r="J1849" i="8"/>
  <c r="J1850" i="8"/>
  <c r="J1761" i="8"/>
  <c r="J1762" i="8"/>
  <c r="M1762" i="8" l="1"/>
  <c r="M1761" i="8"/>
  <c r="M1849" i="8"/>
  <c r="M1850" i="8"/>
  <c r="M1814" i="8"/>
  <c r="I1092" i="8"/>
  <c r="I251" i="8" l="1"/>
  <c r="I410" i="8" l="1"/>
  <c r="I408" i="8" s="1"/>
  <c r="I1370" i="8"/>
  <c r="I428" i="8" l="1"/>
  <c r="I139" i="8"/>
  <c r="I123" i="8" s="1"/>
  <c r="I168" i="8"/>
  <c r="I126" i="8" l="1"/>
  <c r="I899" i="8"/>
  <c r="I330" i="8" l="1"/>
  <c r="I1017" i="8" l="1"/>
  <c r="J1025" i="8"/>
  <c r="I1693" i="8"/>
  <c r="I1687" i="8" s="1"/>
  <c r="I1674" i="8"/>
  <c r="I1678" i="8"/>
  <c r="J1683" i="8"/>
  <c r="J1847" i="8"/>
  <c r="J1848" i="8"/>
  <c r="M1847" i="8" l="1"/>
  <c r="M1848" i="8"/>
  <c r="M1025" i="8"/>
  <c r="M1683" i="8"/>
  <c r="J1693" i="8"/>
  <c r="I1135" i="8"/>
  <c r="M1693" i="8" l="1"/>
  <c r="J1706" i="8"/>
  <c r="J1707" i="8"/>
  <c r="J1708" i="8"/>
  <c r="J1709" i="8"/>
  <c r="J1705" i="8"/>
  <c r="I1704" i="8"/>
  <c r="I1056" i="8"/>
  <c r="I1162" i="8"/>
  <c r="K1868" i="8"/>
  <c r="K1785" i="8"/>
  <c r="M1707" i="8" l="1"/>
  <c r="M1705" i="8"/>
  <c r="M1709" i="8"/>
  <c r="M1708" i="8"/>
  <c r="M1706" i="8"/>
  <c r="K1771" i="8" l="1"/>
  <c r="K1741" i="8"/>
  <c r="K1862" i="8" s="1"/>
  <c r="K97" i="8"/>
  <c r="K10" i="8"/>
  <c r="K5" i="8"/>
  <c r="K1725" i="8"/>
  <c r="K1713" i="8"/>
  <c r="K1702" i="8"/>
  <c r="K1700" i="8"/>
  <c r="K1698" i="8"/>
  <c r="K1696" i="8"/>
  <c r="K1662" i="8"/>
  <c r="K1678" i="8"/>
  <c r="K1674" i="8"/>
  <c r="K1659" i="8"/>
  <c r="K1653" i="8"/>
  <c r="K1647" i="8"/>
  <c r="K1658" i="8" l="1"/>
  <c r="K1711" i="8"/>
  <c r="K1727" i="8"/>
  <c r="K8" i="8"/>
  <c r="K1661" i="8"/>
  <c r="K76" i="8"/>
  <c r="K1646" i="8"/>
  <c r="K1642" i="8" l="1"/>
  <c r="K1655" i="8"/>
  <c r="K105" i="8"/>
  <c r="K1613" i="8"/>
  <c r="K1597" i="8"/>
  <c r="K1595" i="8"/>
  <c r="I1588" i="8"/>
  <c r="K1586" i="8"/>
  <c r="K1576" i="8"/>
  <c r="H1565" i="8"/>
  <c r="J1565" i="8" s="1"/>
  <c r="K1570" i="8"/>
  <c r="K1556" i="8"/>
  <c r="K1542" i="8"/>
  <c r="K1530" i="8"/>
  <c r="K1510" i="8"/>
  <c r="K1496" i="8"/>
  <c r="H1504" i="8"/>
  <c r="K1489" i="8"/>
  <c r="K1472" i="8"/>
  <c r="I1454" i="8"/>
  <c r="K1442" i="8"/>
  <c r="K1436" i="8"/>
  <c r="K1412" i="8"/>
  <c r="K1425" i="8"/>
  <c r="K1406" i="8"/>
  <c r="K1394" i="8"/>
  <c r="K1344" i="8"/>
  <c r="J1380" i="8"/>
  <c r="J1383" i="8"/>
  <c r="J1384" i="8"/>
  <c r="J1385" i="8"/>
  <c r="J1386" i="8"/>
  <c r="J1379" i="8"/>
  <c r="H1378" i="8"/>
  <c r="I1378" i="8"/>
  <c r="K1336" i="8"/>
  <c r="K1300" i="8"/>
  <c r="K1262" i="8"/>
  <c r="K1375" i="8"/>
  <c r="K1348" i="8"/>
  <c r="K1264" i="8"/>
  <c r="K1332" i="8"/>
  <c r="K1295" i="8"/>
  <c r="K1268" i="8"/>
  <c r="K1258" i="8"/>
  <c r="K1231" i="8"/>
  <c r="K1227" i="8"/>
  <c r="K1340" i="8"/>
  <c r="K1223" i="8"/>
  <c r="K1200" i="8"/>
  <c r="K1550" i="8" l="1"/>
  <c r="K1330" i="8"/>
  <c r="J1378" i="8"/>
  <c r="K1196" i="8"/>
  <c r="K1610" i="8"/>
  <c r="K1508" i="8"/>
  <c r="K1527" i="8"/>
  <c r="K1377" i="8"/>
  <c r="M1380" i="8"/>
  <c r="K1221" i="8"/>
  <c r="K1229" i="8"/>
  <c r="K1540" i="8"/>
  <c r="K1293" i="8"/>
  <c r="M1379" i="8"/>
  <c r="M1565" i="8"/>
  <c r="M1386" i="8"/>
  <c r="K1451" i="8"/>
  <c r="M1384" i="8"/>
  <c r="K1469" i="8"/>
  <c r="K1338" i="8"/>
  <c r="K1390" i="8"/>
  <c r="K1422" i="8"/>
  <c r="K1256" i="8"/>
  <c r="K1567" i="8"/>
  <c r="K1302" i="8"/>
  <c r="M1385" i="8"/>
  <c r="M1383" i="8"/>
  <c r="K1487" i="8"/>
  <c r="K1551" i="8"/>
  <c r="K1575" i="8"/>
  <c r="J1504" i="8"/>
  <c r="K1440" i="8"/>
  <c r="M1378" i="8"/>
  <c r="K1346" i="8"/>
  <c r="K1266" i="8"/>
  <c r="K1171" i="8"/>
  <c r="K1506" i="8" l="1"/>
  <c r="K1607" i="8"/>
  <c r="K1194" i="8"/>
  <c r="K1467" i="8"/>
  <c r="M1504" i="8"/>
  <c r="K1525" i="8"/>
  <c r="K1554" i="8"/>
  <c r="K1552" i="8"/>
  <c r="K1169" i="8"/>
  <c r="K1387" i="8"/>
  <c r="K1145" i="8"/>
  <c r="K1088" i="8"/>
  <c r="K1118" i="8"/>
  <c r="K1140" i="8"/>
  <c r="K1066" i="8"/>
  <c r="K1039" i="8"/>
  <c r="K1015" i="8"/>
  <c r="K1013" i="8"/>
  <c r="K1007" i="8"/>
  <c r="K1001" i="8"/>
  <c r="K995" i="8"/>
  <c r="K891" i="8"/>
  <c r="K872" i="8"/>
  <c r="K854" i="8"/>
  <c r="K840" i="8"/>
  <c r="K809" i="8"/>
  <c r="K799" i="8"/>
  <c r="K776" i="8"/>
  <c r="K753" i="8"/>
  <c r="K735" i="8"/>
  <c r="K819" i="8"/>
  <c r="K718" i="8"/>
  <c r="K677" i="8"/>
  <c r="K659" i="8"/>
  <c r="K616" i="8"/>
  <c r="K444" i="8"/>
  <c r="K566" i="8"/>
  <c r="K518" i="8"/>
  <c r="K488" i="8"/>
  <c r="K427" i="8"/>
  <c r="K496" i="8"/>
  <c r="K410" i="8"/>
  <c r="J381" i="8"/>
  <c r="J382" i="8"/>
  <c r="J380" i="8"/>
  <c r="I379" i="8"/>
  <c r="H379" i="8"/>
  <c r="K366" i="8"/>
  <c r="K339" i="8"/>
  <c r="K655" i="8" l="1"/>
  <c r="K731" i="8"/>
  <c r="K1000" i="8"/>
  <c r="K749" i="8"/>
  <c r="K772" i="8"/>
  <c r="K714" i="8"/>
  <c r="K408" i="8"/>
  <c r="K406" i="8" s="1"/>
  <c r="K795" i="8"/>
  <c r="K793" i="8" s="1"/>
  <c r="K492" i="8"/>
  <c r="K562" i="8"/>
  <c r="K560" i="8" s="1"/>
  <c r="K836" i="8"/>
  <c r="K834" i="8" s="1"/>
  <c r="K888" i="8"/>
  <c r="K440" i="8"/>
  <c r="K850" i="8"/>
  <c r="K815" i="8"/>
  <c r="K613" i="8"/>
  <c r="K611" i="8" s="1"/>
  <c r="K868" i="8"/>
  <c r="K471" i="8"/>
  <c r="K1086" i="8"/>
  <c r="K345" i="8"/>
  <c r="K1548" i="8"/>
  <c r="K1143" i="8"/>
  <c r="K1036" i="8"/>
  <c r="K1063" i="8"/>
  <c r="M382" i="8"/>
  <c r="K1549" i="8"/>
  <c r="K729" i="8"/>
  <c r="K848" i="8"/>
  <c r="K1139" i="8"/>
  <c r="K1115" i="8"/>
  <c r="M381" i="8"/>
  <c r="K922" i="8"/>
  <c r="K747" i="8"/>
  <c r="K998" i="8"/>
  <c r="M380" i="8"/>
  <c r="J379" i="8"/>
  <c r="K969" i="8"/>
  <c r="K944" i="8"/>
  <c r="K1030" i="8"/>
  <c r="K898" i="8"/>
  <c r="K813" i="8"/>
  <c r="K695" i="8"/>
  <c r="K465" i="8"/>
  <c r="K522" i="8"/>
  <c r="K653" i="8"/>
  <c r="K628" i="8"/>
  <c r="K595" i="8"/>
  <c r="K535" i="8"/>
  <c r="K490" i="8" l="1"/>
  <c r="K866" i="8"/>
  <c r="K886" i="8"/>
  <c r="K770" i="8"/>
  <c r="K1031" i="8"/>
  <c r="J378" i="8"/>
  <c r="M378" i="8" s="1"/>
  <c r="M379" i="8"/>
  <c r="K404" i="8"/>
  <c r="K438" i="8"/>
  <c r="K323" i="8"/>
  <c r="K293" i="8"/>
  <c r="K281" i="8"/>
  <c r="K257" i="8"/>
  <c r="K252" i="8" l="1"/>
  <c r="K278" i="8"/>
  <c r="H338" i="8"/>
  <c r="K327" i="8"/>
  <c r="K324" i="8"/>
  <c r="K283" i="8"/>
  <c r="K250" i="8" l="1"/>
  <c r="K277" i="8"/>
  <c r="J338" i="8"/>
  <c r="K241" i="8"/>
  <c r="K231" i="8"/>
  <c r="K219" i="8"/>
  <c r="K215" i="8"/>
  <c r="K208" i="8"/>
  <c r="I196" i="8"/>
  <c r="K196" i="8"/>
  <c r="K199" i="8"/>
  <c r="K195" i="8"/>
  <c r="K198" i="8"/>
  <c r="K188" i="8"/>
  <c r="K184" i="8"/>
  <c r="K172" i="8"/>
  <c r="K169" i="8"/>
  <c r="K167" i="8"/>
  <c r="K230" i="8" l="1"/>
  <c r="K116" i="8"/>
  <c r="M338" i="8"/>
  <c r="K182" i="8"/>
  <c r="K186" i="8"/>
  <c r="K178" i="8"/>
  <c r="K180" i="8"/>
  <c r="K197" i="8" l="1"/>
  <c r="K194" i="8" s="1"/>
  <c r="K228" i="8"/>
  <c r="K183" i="8"/>
  <c r="K174" i="8"/>
  <c r="K175" i="8"/>
  <c r="K193" i="8" l="1"/>
  <c r="K138" i="8"/>
  <c r="J139" i="8"/>
  <c r="M139" i="8" l="1"/>
  <c r="K125" i="8"/>
  <c r="K127" i="8"/>
  <c r="I1009" i="8"/>
  <c r="I819" i="8"/>
  <c r="I811" i="8"/>
  <c r="I169" i="8"/>
  <c r="I1050" i="8"/>
  <c r="K122" i="8" l="1"/>
  <c r="K121" i="8"/>
  <c r="H1673" i="8"/>
  <c r="I1868" i="8"/>
  <c r="I1785" i="8"/>
  <c r="I1783" i="8"/>
  <c r="I1771" i="8"/>
  <c r="I1741" i="8"/>
  <c r="I1730" i="8"/>
  <c r="I1727" i="8" s="1"/>
  <c r="I1725" i="8"/>
  <c r="I1713" i="8"/>
  <c r="I1711" i="8" s="1"/>
  <c r="J1704" i="8"/>
  <c r="I1702" i="8"/>
  <c r="I1700" i="8"/>
  <c r="I1698" i="8"/>
  <c r="I1696" i="8"/>
  <c r="I1685" i="8"/>
  <c r="I1661" i="8" s="1"/>
  <c r="I1659" i="8"/>
  <c r="I1658" i="8" s="1"/>
  <c r="I1655" i="8" s="1"/>
  <c r="I1653" i="8"/>
  <c r="I1647" i="8"/>
  <c r="I1632" i="8"/>
  <c r="I1613" i="8"/>
  <c r="I1610" i="8" s="1"/>
  <c r="I1607" i="8" s="1"/>
  <c r="I1599" i="8"/>
  <c r="I1597" i="8" s="1"/>
  <c r="I1595" i="8"/>
  <c r="I1586" i="8"/>
  <c r="I1576" i="8"/>
  <c r="I1570" i="8"/>
  <c r="I1567" i="8" s="1"/>
  <c r="I1556" i="8"/>
  <c r="I1551" i="8"/>
  <c r="I1542" i="8"/>
  <c r="I1540" i="8" s="1"/>
  <c r="I1530" i="8"/>
  <c r="I1527" i="8" s="1"/>
  <c r="I1525" i="8" s="1"/>
  <c r="I1523" i="8"/>
  <c r="I1510" i="8"/>
  <c r="I1508" i="8" s="1"/>
  <c r="I1506" i="8" s="1"/>
  <c r="I1498" i="8"/>
  <c r="I1496" i="8" s="1"/>
  <c r="I1489" i="8"/>
  <c r="I1487" i="8" s="1"/>
  <c r="I1472" i="8"/>
  <c r="I1469" i="8" s="1"/>
  <c r="I1467" i="8" s="1"/>
  <c r="I1453" i="8"/>
  <c r="I1451" i="8" s="1"/>
  <c r="I1442" i="8"/>
  <c r="I1436" i="8"/>
  <c r="I1425" i="8"/>
  <c r="I1422" i="8" s="1"/>
  <c r="I1412" i="8"/>
  <c r="I1406" i="8"/>
  <c r="I1394" i="8"/>
  <c r="I1390" i="8" s="1"/>
  <c r="I1387" i="8" s="1"/>
  <c r="J1377" i="8"/>
  <c r="I1377" i="8"/>
  <c r="I1375" i="8"/>
  <c r="I1352" i="8"/>
  <c r="I1348" i="8" s="1"/>
  <c r="I1346" i="8" s="1"/>
  <c r="I1344" i="8"/>
  <c r="I1340" i="8"/>
  <c r="I1338" i="8" s="1"/>
  <c r="I1336" i="8"/>
  <c r="I1332" i="8"/>
  <c r="I1330" i="8" s="1"/>
  <c r="I1308" i="8"/>
  <c r="I1304" i="8" s="1"/>
  <c r="I1302" i="8" s="1"/>
  <c r="I1300" i="8"/>
  <c r="I1295" i="8"/>
  <c r="I1293" i="8" s="1"/>
  <c r="I1272" i="8"/>
  <c r="I1268" i="8" s="1"/>
  <c r="I1264" i="8"/>
  <c r="I1262" i="8"/>
  <c r="I1258" i="8"/>
  <c r="I1256" i="8" s="1"/>
  <c r="I1235" i="8"/>
  <c r="I1227" i="8"/>
  <c r="I1223" i="8"/>
  <c r="I1221" i="8" s="1"/>
  <c r="I1200" i="8"/>
  <c r="I1196" i="8" s="1"/>
  <c r="I1194" i="8" s="1"/>
  <c r="I1174" i="8"/>
  <c r="I1148" i="8"/>
  <c r="I1145" i="8" s="1"/>
  <c r="I1143" i="8" s="1"/>
  <c r="I1140" i="8"/>
  <c r="I1139" i="8" s="1"/>
  <c r="I1118" i="8"/>
  <c r="I1115" i="8" s="1"/>
  <c r="I1091" i="8"/>
  <c r="I1088" i="8" s="1"/>
  <c r="I1086" i="8" s="1"/>
  <c r="I1066" i="8"/>
  <c r="I1063" i="8" s="1"/>
  <c r="I1039" i="8"/>
  <c r="I1036" i="8" s="1"/>
  <c r="I1015" i="8"/>
  <c r="I1013" i="8"/>
  <c r="I1007" i="8"/>
  <c r="I1001" i="8"/>
  <c r="I1000" i="8" s="1"/>
  <c r="I998" i="8" s="1"/>
  <c r="I995" i="8"/>
  <c r="I974" i="8"/>
  <c r="I971" i="8" s="1"/>
  <c r="I969" i="8" s="1"/>
  <c r="I949" i="8"/>
  <c r="I927" i="8"/>
  <c r="I924" i="8" s="1"/>
  <c r="I922" i="8" s="1"/>
  <c r="I903" i="8"/>
  <c r="I900" i="8" s="1"/>
  <c r="I898" i="8" s="1"/>
  <c r="I891" i="8"/>
  <c r="I888" i="8" s="1"/>
  <c r="I886" i="8" s="1"/>
  <c r="I872" i="8"/>
  <c r="I868" i="8" s="1"/>
  <c r="I866" i="8" s="1"/>
  <c r="I854" i="8"/>
  <c r="I850" i="8" s="1"/>
  <c r="I848" i="8" s="1"/>
  <c r="I840" i="8"/>
  <c r="I836" i="8" s="1"/>
  <c r="I834" i="8" s="1"/>
  <c r="I815" i="8"/>
  <c r="I813" i="8" s="1"/>
  <c r="I809" i="8"/>
  <c r="I799" i="8"/>
  <c r="I795" i="8" s="1"/>
  <c r="I793" i="8" s="1"/>
  <c r="I776" i="8"/>
  <c r="I772" i="8" s="1"/>
  <c r="I770" i="8" s="1"/>
  <c r="I753" i="8"/>
  <c r="I749" i="8" s="1"/>
  <c r="I747" i="8" s="1"/>
  <c r="I735" i="8"/>
  <c r="I731" i="8" s="1"/>
  <c r="I729" i="8" s="1"/>
  <c r="I718" i="8"/>
  <c r="I714" i="8" s="1"/>
  <c r="I701" i="8"/>
  <c r="I698" i="8" s="1"/>
  <c r="I695" i="8" s="1"/>
  <c r="I692" i="8"/>
  <c r="I690" i="8" s="1"/>
  <c r="I682" i="8"/>
  <c r="I679" i="8" s="1"/>
  <c r="I677" i="8" s="1"/>
  <c r="I659" i="8"/>
  <c r="I634" i="8"/>
  <c r="I630" i="8" s="1"/>
  <c r="I628" i="8" s="1"/>
  <c r="I616" i="8"/>
  <c r="I613" i="8" s="1"/>
  <c r="I611" i="8" s="1"/>
  <c r="I601" i="8"/>
  <c r="I566" i="8"/>
  <c r="I562" i="8" s="1"/>
  <c r="I560" i="8" s="1"/>
  <c r="I541" i="8"/>
  <c r="I537" i="8" s="1"/>
  <c r="I535" i="8" s="1"/>
  <c r="I524" i="8"/>
  <c r="I522" i="8" s="1"/>
  <c r="I518" i="8"/>
  <c r="I515" i="8" s="1"/>
  <c r="I496" i="8"/>
  <c r="I492" i="8" s="1"/>
  <c r="I490" i="8" s="1"/>
  <c r="I488" i="8"/>
  <c r="I477" i="8"/>
  <c r="I473" i="8" s="1"/>
  <c r="I471" i="8" s="1"/>
  <c r="I467" i="8"/>
  <c r="I465" i="8" s="1"/>
  <c r="I444" i="8"/>
  <c r="I440" i="8" s="1"/>
  <c r="I438" i="8" s="1"/>
  <c r="I429" i="8"/>
  <c r="I427" i="8" s="1"/>
  <c r="I403" i="8"/>
  <c r="I389" i="8"/>
  <c r="I378" i="8"/>
  <c r="I368" i="8"/>
  <c r="I366" i="8" s="1"/>
  <c r="I348" i="8"/>
  <c r="I347" i="8" s="1"/>
  <c r="I345" i="8" s="1"/>
  <c r="I340" i="8"/>
  <c r="I339" i="8" s="1"/>
  <c r="I327" i="8"/>
  <c r="I324" i="8"/>
  <c r="I323" i="8"/>
  <c r="I295" i="8"/>
  <c r="I293" i="8" s="1"/>
  <c r="I285" i="8"/>
  <c r="I257" i="8"/>
  <c r="I243" i="8"/>
  <c r="I241" i="8" s="1"/>
  <c r="I231" i="8"/>
  <c r="I230" i="8" s="1"/>
  <c r="I221" i="8"/>
  <c r="I219" i="8" s="1"/>
  <c r="I216" i="8"/>
  <c r="I215" i="8" s="1"/>
  <c r="I209" i="8"/>
  <c r="I208" i="8" s="1"/>
  <c r="I201" i="8"/>
  <c r="I199" i="8" s="1"/>
  <c r="I198" i="8"/>
  <c r="I195" i="8"/>
  <c r="I190" i="8"/>
  <c r="I186" i="8" s="1"/>
  <c r="I184" i="8"/>
  <c r="I180" i="8"/>
  <c r="I174" i="8" s="1"/>
  <c r="I178" i="8"/>
  <c r="I175" i="8" s="1"/>
  <c r="I172" i="8"/>
  <c r="I167" i="8"/>
  <c r="I146" i="8"/>
  <c r="I133" i="8"/>
  <c r="I97" i="8"/>
  <c r="I93" i="8"/>
  <c r="I77" i="8"/>
  <c r="I5" i="8"/>
  <c r="M1704" i="8" l="1"/>
  <c r="M1377" i="8"/>
  <c r="I1550" i="8"/>
  <c r="I283" i="8"/>
  <c r="I277" i="8" s="1"/>
  <c r="I281" i="8"/>
  <c r="I278" i="8" s="1"/>
  <c r="I946" i="8"/>
  <c r="I944" i="8" s="1"/>
  <c r="I597" i="8"/>
  <c r="I595" i="8" s="1"/>
  <c r="I76" i="8"/>
  <c r="I1862" i="8"/>
  <c r="I141" i="8"/>
  <c r="I138" i="8" s="1"/>
  <c r="I1171" i="8"/>
  <c r="I1169" i="8" s="1"/>
  <c r="I1554" i="8"/>
  <c r="I8" i="8"/>
  <c r="I252" i="8"/>
  <c r="I250" i="8" s="1"/>
  <c r="I1231" i="8"/>
  <c r="I1229" i="8" s="1"/>
  <c r="I1440" i="8"/>
  <c r="I1438" i="8" s="1"/>
  <c r="I188" i="8"/>
  <c r="I182" i="8" s="1"/>
  <c r="I655" i="8"/>
  <c r="I653" i="8" s="1"/>
  <c r="I387" i="8"/>
  <c r="I384" i="8" s="1"/>
  <c r="I1030" i="8"/>
  <c r="I114" i="8" s="1"/>
  <c r="I325" i="8"/>
  <c r="I322" i="8" s="1"/>
  <c r="I183" i="8"/>
  <c r="I116" i="8"/>
  <c r="I1575" i="8"/>
  <c r="I1552" i="8"/>
  <c r="I228" i="8"/>
  <c r="I1646" i="8"/>
  <c r="I1642" i="8" s="1"/>
  <c r="I321" i="8"/>
  <c r="I406" i="8"/>
  <c r="I129" i="8"/>
  <c r="I383" i="8"/>
  <c r="I1266" i="8"/>
  <c r="I1409" i="8"/>
  <c r="F96" i="8"/>
  <c r="I125" i="8" l="1"/>
  <c r="I122" i="8" s="1"/>
  <c r="I197" i="8"/>
  <c r="I194" i="8" s="1"/>
  <c r="I193" i="8"/>
  <c r="I1549" i="8"/>
  <c r="I1031" i="8"/>
  <c r="I404" i="8"/>
  <c r="I1548" i="8"/>
  <c r="I105" i="8"/>
  <c r="I127" i="8"/>
  <c r="I121" i="8" s="1"/>
  <c r="H705" i="8"/>
  <c r="J705" i="8" l="1"/>
  <c r="I115" i="8"/>
  <c r="H1704" i="8"/>
  <c r="M705" i="8" l="1"/>
  <c r="H1080" i="8"/>
  <c r="J1080" i="8" l="1"/>
  <c r="G1869" i="8"/>
  <c r="H1869" i="8" s="1"/>
  <c r="J1869" i="8" s="1"/>
  <c r="M1080" i="8" l="1"/>
  <c r="H96" i="8"/>
  <c r="J96" i="8" l="1"/>
  <c r="M96" i="8" l="1"/>
  <c r="H1443" i="8"/>
  <c r="H1444" i="8"/>
  <c r="H1446" i="8"/>
  <c r="H1447" i="8"/>
  <c r="H1448" i="8"/>
  <c r="H1450" i="8"/>
  <c r="J1447" i="8" l="1"/>
  <c r="J1450" i="8"/>
  <c r="J1448" i="8"/>
  <c r="J1446" i="8"/>
  <c r="J1444" i="8"/>
  <c r="J1443" i="8"/>
  <c r="G231" i="8"/>
  <c r="F231" i="8"/>
  <c r="F230" i="8" s="1"/>
  <c r="M1450" i="8" l="1"/>
  <c r="M1443" i="8"/>
  <c r="M1444" i="8"/>
  <c r="M1446" i="8"/>
  <c r="M1448" i="8"/>
  <c r="M1447" i="8"/>
  <c r="J1442" i="8"/>
  <c r="F228" i="8"/>
  <c r="M1442" i="8" l="1"/>
  <c r="H1801" i="8"/>
  <c r="J1801" i="8" s="1"/>
  <c r="H1803" i="8"/>
  <c r="J1803" i="8" s="1"/>
  <c r="H1804" i="8"/>
  <c r="J1804" i="8" s="1"/>
  <c r="H1805" i="8"/>
  <c r="J1805" i="8" s="1"/>
  <c r="H1806" i="8"/>
  <c r="J1806" i="8" s="1"/>
  <c r="H1807" i="8"/>
  <c r="J1807" i="8" s="1"/>
  <c r="H1810" i="8"/>
  <c r="J1810" i="8" s="1"/>
  <c r="H1813" i="8"/>
  <c r="J1813" i="8" s="1"/>
  <c r="H1815" i="8"/>
  <c r="J1815" i="8" s="1"/>
  <c r="H1816" i="8"/>
  <c r="J1816" i="8" s="1"/>
  <c r="H1818" i="8"/>
  <c r="J1818" i="8" s="1"/>
  <c r="H1819" i="8"/>
  <c r="J1819" i="8" s="1"/>
  <c r="H1820" i="8"/>
  <c r="J1820" i="8" s="1"/>
  <c r="H1822" i="8"/>
  <c r="J1822" i="8" s="1"/>
  <c r="H1825" i="8"/>
  <c r="J1825" i="8" s="1"/>
  <c r="H1826" i="8"/>
  <c r="J1826" i="8" s="1"/>
  <c r="H1827" i="8"/>
  <c r="J1827" i="8" s="1"/>
  <c r="H1828" i="8"/>
  <c r="J1828" i="8" s="1"/>
  <c r="H1829" i="8"/>
  <c r="J1829" i="8" s="1"/>
  <c r="H1830" i="8"/>
  <c r="J1830" i="8" s="1"/>
  <c r="H1831" i="8"/>
  <c r="J1831" i="8" s="1"/>
  <c r="H1832" i="8"/>
  <c r="J1832" i="8" s="1"/>
  <c r="H1834" i="8"/>
  <c r="J1834" i="8" s="1"/>
  <c r="H1835" i="8"/>
  <c r="J1835" i="8" s="1"/>
  <c r="H1836" i="8"/>
  <c r="J1836" i="8" s="1"/>
  <c r="H1837" i="8"/>
  <c r="J1837" i="8" s="1"/>
  <c r="H1838" i="8"/>
  <c r="J1838" i="8" s="1"/>
  <c r="H1839" i="8"/>
  <c r="H1842" i="8"/>
  <c r="J1842" i="8" s="1"/>
  <c r="H1844" i="8"/>
  <c r="J1844" i="8" s="1"/>
  <c r="H1845" i="8"/>
  <c r="J1845" i="8" s="1"/>
  <c r="H1846" i="8"/>
  <c r="J1846" i="8" s="1"/>
  <c r="H1788" i="8"/>
  <c r="J1788" i="8" s="1"/>
  <c r="H1789" i="8"/>
  <c r="J1789" i="8" s="1"/>
  <c r="H1790" i="8"/>
  <c r="J1790" i="8" s="1"/>
  <c r="H1792" i="8"/>
  <c r="J1792" i="8" s="1"/>
  <c r="H1794" i="8"/>
  <c r="J1794" i="8" s="1"/>
  <c r="H1797" i="8"/>
  <c r="J1797" i="8" s="1"/>
  <c r="H1798" i="8"/>
  <c r="J1798" i="8" s="1"/>
  <c r="H1800" i="8"/>
  <c r="J1800" i="8" s="1"/>
  <c r="M1805" i="8" l="1"/>
  <c r="M1789" i="8"/>
  <c r="M1846" i="8"/>
  <c r="M1788" i="8"/>
  <c r="M1831" i="8"/>
  <c r="M1815" i="8"/>
  <c r="M1845" i="8"/>
  <c r="M1807" i="8"/>
  <c r="M1813" i="8"/>
  <c r="M1842" i="8"/>
  <c r="M1827" i="8"/>
  <c r="M1806" i="8"/>
  <c r="M1832" i="8"/>
  <c r="M1829" i="8"/>
  <c r="M1826" i="8"/>
  <c r="M1844" i="8"/>
  <c r="M1838" i="8"/>
  <c r="M1825" i="8"/>
  <c r="M1804" i="8"/>
  <c r="M1816" i="8"/>
  <c r="M1810" i="8"/>
  <c r="M1800" i="8"/>
  <c r="M1837" i="8"/>
  <c r="M1822" i="8"/>
  <c r="M1803" i="8"/>
  <c r="M1830" i="8"/>
  <c r="M1828" i="8"/>
  <c r="M1798" i="8"/>
  <c r="M1797" i="8"/>
  <c r="M1794" i="8"/>
  <c r="M1836" i="8"/>
  <c r="M1820" i="8"/>
  <c r="M1801" i="8"/>
  <c r="M1792" i="8"/>
  <c r="M1835" i="8"/>
  <c r="M1819" i="8"/>
  <c r="M1790" i="8"/>
  <c r="M1834" i="8"/>
  <c r="M1818" i="8"/>
  <c r="J1839" i="8"/>
  <c r="G854" i="8"/>
  <c r="H859" i="8"/>
  <c r="M1839" i="8" l="1"/>
  <c r="J859" i="8"/>
  <c r="G1267" i="8"/>
  <c r="G1701" i="8"/>
  <c r="G1411" i="8"/>
  <c r="M859" i="8" l="1"/>
  <c r="H1111" i="8"/>
  <c r="J1111" i="8" l="1"/>
  <c r="M1111" i="8" l="1"/>
  <c r="H1870" i="8"/>
  <c r="J1870" i="8" s="1"/>
  <c r="G1650" i="8" l="1"/>
  <c r="H1608" i="8"/>
  <c r="H1601" i="8"/>
  <c r="H1602" i="8"/>
  <c r="H1603" i="8"/>
  <c r="H1604" i="8"/>
  <c r="H1605" i="8"/>
  <c r="H1606" i="8"/>
  <c r="H1600" i="8"/>
  <c r="F1442" i="8"/>
  <c r="G1442" i="8"/>
  <c r="G1440" i="8" s="1"/>
  <c r="J1608" i="8" l="1"/>
  <c r="J1602" i="8"/>
  <c r="J1600" i="8"/>
  <c r="J1601" i="8"/>
  <c r="J1606" i="8"/>
  <c r="J1605" i="8"/>
  <c r="J1604" i="8"/>
  <c r="J1603" i="8"/>
  <c r="H1442" i="8"/>
  <c r="H1599" i="8"/>
  <c r="G566" i="8"/>
  <c r="J1599" i="8" l="1"/>
  <c r="M1604" i="8"/>
  <c r="M1605" i="8"/>
  <c r="M1602" i="8"/>
  <c r="M1603" i="8"/>
  <c r="M1606" i="8"/>
  <c r="M1601" i="8"/>
  <c r="M1600" i="8"/>
  <c r="M1608" i="8"/>
  <c r="G348" i="8"/>
  <c r="M1599" i="8" l="1"/>
  <c r="K1438" i="8"/>
  <c r="G146" i="8"/>
  <c r="H156" i="8"/>
  <c r="J156" i="8" l="1"/>
  <c r="G257" i="8"/>
  <c r="H668" i="8"/>
  <c r="G659" i="8"/>
  <c r="G541" i="8"/>
  <c r="H552" i="8"/>
  <c r="H643" i="8"/>
  <c r="G634" i="8"/>
  <c r="M156" i="8" l="1"/>
  <c r="J668" i="8"/>
  <c r="J552" i="8"/>
  <c r="J643" i="8"/>
  <c r="G1613" i="8"/>
  <c r="H359" i="8"/>
  <c r="G1308" i="8"/>
  <c r="H1318" i="8"/>
  <c r="H1282" i="8"/>
  <c r="G1272" i="8"/>
  <c r="H1245" i="8"/>
  <c r="H1246" i="8"/>
  <c r="G1235" i="8"/>
  <c r="G903" i="8"/>
  <c r="H912" i="8"/>
  <c r="G949" i="8"/>
  <c r="G946" i="8" s="1"/>
  <c r="H959" i="8"/>
  <c r="G974" i="8"/>
  <c r="H984" i="8"/>
  <c r="H1184" i="8"/>
  <c r="G1174" i="8"/>
  <c r="H897" i="8"/>
  <c r="G123" i="8"/>
  <c r="G126" i="8"/>
  <c r="M643" i="8" l="1"/>
  <c r="M668" i="8"/>
  <c r="M552" i="8"/>
  <c r="J1184" i="8"/>
  <c r="J1245" i="8"/>
  <c r="J1318" i="8"/>
  <c r="J359" i="8"/>
  <c r="J897" i="8"/>
  <c r="J912" i="8"/>
  <c r="J1282" i="8"/>
  <c r="J959" i="8"/>
  <c r="J984" i="8"/>
  <c r="J1246" i="8"/>
  <c r="M897" i="8" l="1"/>
  <c r="M1318" i="8"/>
  <c r="M359" i="8"/>
  <c r="M1245" i="8"/>
  <c r="M959" i="8"/>
  <c r="M912" i="8"/>
  <c r="M1184" i="8"/>
  <c r="M1246" i="8"/>
  <c r="M984" i="8"/>
  <c r="M1282" i="8"/>
  <c r="G429" i="8"/>
  <c r="F195" i="8"/>
  <c r="G195" i="8"/>
  <c r="H242" i="8"/>
  <c r="J242" i="8" l="1"/>
  <c r="G1530" i="8"/>
  <c r="F1530" i="8"/>
  <c r="M242" i="8" l="1"/>
  <c r="H1411" i="8"/>
  <c r="H1410" i="8"/>
  <c r="J1410" i="8" l="1"/>
  <c r="J1411" i="8"/>
  <c r="G133" i="8"/>
  <c r="G1035" i="8"/>
  <c r="G1030" i="8" s="1"/>
  <c r="M1411" i="8" l="1"/>
  <c r="K1410" i="8"/>
  <c r="M1410" i="8"/>
  <c r="K1409" i="8" l="1"/>
  <c r="H1532" i="8"/>
  <c r="J1532" i="8" l="1"/>
  <c r="M1532" i="8" l="1"/>
  <c r="G1868" i="8"/>
  <c r="G1785" i="8"/>
  <c r="G1783" i="8"/>
  <c r="G1771" i="8"/>
  <c r="G1741" i="8"/>
  <c r="G1862" i="8" l="1"/>
  <c r="H214" i="8"/>
  <c r="H192" i="8"/>
  <c r="H191" i="8"/>
  <c r="F190" i="8"/>
  <c r="G190" i="8"/>
  <c r="H1732" i="8"/>
  <c r="H1734" i="8"/>
  <c r="H1731" i="8"/>
  <c r="G1730" i="8"/>
  <c r="G1727" i="8" s="1"/>
  <c r="H1729" i="8"/>
  <c r="H1728" i="8"/>
  <c r="H1726" i="8"/>
  <c r="H1703" i="8"/>
  <c r="G1725" i="8"/>
  <c r="H1717" i="8"/>
  <c r="H1718" i="8"/>
  <c r="H1719" i="8"/>
  <c r="H1720" i="8"/>
  <c r="H1721" i="8"/>
  <c r="H1724" i="8"/>
  <c r="H1715" i="8"/>
  <c r="H1716" i="8"/>
  <c r="G1713" i="8"/>
  <c r="G1711" i="8" s="1"/>
  <c r="H1697" i="8"/>
  <c r="G1696" i="8"/>
  <c r="G1698" i="8"/>
  <c r="G1700" i="8"/>
  <c r="G1702" i="8"/>
  <c r="H1682" i="8"/>
  <c r="G1687" i="8"/>
  <c r="G1685" i="8" s="1"/>
  <c r="F1687" i="8"/>
  <c r="H1688" i="8"/>
  <c r="H1691" i="8"/>
  <c r="H1692" i="8"/>
  <c r="H1694" i="8"/>
  <c r="H1686" i="8"/>
  <c r="H1680" i="8"/>
  <c r="H1681" i="8"/>
  <c r="H1679" i="8"/>
  <c r="G1678" i="8"/>
  <c r="H1676" i="8"/>
  <c r="H1677" i="8"/>
  <c r="G1674" i="8"/>
  <c r="H1672" i="8"/>
  <c r="G1662" i="8"/>
  <c r="H1660" i="8"/>
  <c r="F1659" i="8"/>
  <c r="F1658" i="8" s="1"/>
  <c r="G1659" i="8"/>
  <c r="G1658" i="8" s="1"/>
  <c r="G1655" i="8" s="1"/>
  <c r="G1653" i="8"/>
  <c r="H1651" i="8"/>
  <c r="H1650" i="8"/>
  <c r="H1649" i="8"/>
  <c r="H1648" i="8"/>
  <c r="G1647" i="8"/>
  <c r="F1647" i="8"/>
  <c r="G1632" i="8"/>
  <c r="G1636" i="8"/>
  <c r="G1637" i="8"/>
  <c r="H1614" i="8"/>
  <c r="H1615" i="8"/>
  <c r="H1616" i="8"/>
  <c r="H1617" i="8"/>
  <c r="H1618" i="8"/>
  <c r="H1619" i="8"/>
  <c r="H1620" i="8"/>
  <c r="H1621" i="8"/>
  <c r="H1622" i="8"/>
  <c r="H1625" i="8"/>
  <c r="H1626" i="8"/>
  <c r="H1627" i="8"/>
  <c r="H1630" i="8"/>
  <c r="H1631" i="8"/>
  <c r="G1610" i="8"/>
  <c r="G1599" i="8"/>
  <c r="G1597" i="8" s="1"/>
  <c r="G1595" i="8"/>
  <c r="H1591" i="8"/>
  <c r="H1590" i="8"/>
  <c r="G1588" i="8"/>
  <c r="G1586" i="8" s="1"/>
  <c r="H1578" i="8"/>
  <c r="H1579" i="8"/>
  <c r="H1580" i="8"/>
  <c r="H1581" i="8"/>
  <c r="H1582" i="8"/>
  <c r="H1583" i="8"/>
  <c r="H1577" i="8"/>
  <c r="G1576" i="8"/>
  <c r="H1566" i="8"/>
  <c r="H1572" i="8"/>
  <c r="H1573" i="8"/>
  <c r="H1574" i="8"/>
  <c r="H1571" i="8"/>
  <c r="G1570" i="8"/>
  <c r="G1567" i="8" s="1"/>
  <c r="H1569" i="8"/>
  <c r="H1558" i="8"/>
  <c r="H1559" i="8"/>
  <c r="H1560" i="8"/>
  <c r="H1561" i="8"/>
  <c r="H1562" i="8"/>
  <c r="H1563" i="8"/>
  <c r="H1564" i="8"/>
  <c r="H1557" i="8"/>
  <c r="G1556" i="8"/>
  <c r="F1556" i="8"/>
  <c r="F1551" i="8"/>
  <c r="F1030" i="8"/>
  <c r="H1687" i="8" l="1"/>
  <c r="H1588" i="8"/>
  <c r="J1631" i="8"/>
  <c r="J1615" i="8"/>
  <c r="J1625" i="8"/>
  <c r="J1622" i="8"/>
  <c r="J1720" i="8"/>
  <c r="J1557" i="8"/>
  <c r="J1620" i="8"/>
  <c r="J1719" i="8"/>
  <c r="J1619" i="8"/>
  <c r="J1718" i="8"/>
  <c r="J1650" i="8"/>
  <c r="J1717" i="8"/>
  <c r="J1617" i="8"/>
  <c r="J1630" i="8"/>
  <c r="J1626" i="8"/>
  <c r="J1724" i="8"/>
  <c r="J1721" i="8"/>
  <c r="J1648" i="8"/>
  <c r="J1649" i="8"/>
  <c r="J1627" i="8"/>
  <c r="J1716" i="8"/>
  <c r="J1579" i="8"/>
  <c r="J1578" i="8"/>
  <c r="J1672" i="8"/>
  <c r="J1688" i="8"/>
  <c r="J1731" i="8"/>
  <c r="J1621" i="8"/>
  <c r="J1734" i="8"/>
  <c r="J1573" i="8"/>
  <c r="J1590" i="8"/>
  <c r="J1677" i="8"/>
  <c r="J1732" i="8"/>
  <c r="J1673" i="8"/>
  <c r="J1574" i="8"/>
  <c r="J1572" i="8"/>
  <c r="J1591" i="8"/>
  <c r="J1676" i="8"/>
  <c r="J1682" i="8"/>
  <c r="J1715" i="8"/>
  <c r="J1564" i="8"/>
  <c r="J1563" i="8"/>
  <c r="J1566" i="8"/>
  <c r="J1618" i="8"/>
  <c r="J1691" i="8"/>
  <c r="J1562" i="8"/>
  <c r="J1651" i="8"/>
  <c r="J1679" i="8"/>
  <c r="J191" i="8"/>
  <c r="J1561" i="8"/>
  <c r="J1577" i="8"/>
  <c r="J1616" i="8"/>
  <c r="J1681" i="8"/>
  <c r="J192" i="8"/>
  <c r="J1560" i="8"/>
  <c r="J1583" i="8"/>
  <c r="J1680" i="8"/>
  <c r="J1703" i="8"/>
  <c r="J1559" i="8"/>
  <c r="J1582" i="8"/>
  <c r="J1614" i="8"/>
  <c r="J1686" i="8"/>
  <c r="J1697" i="8"/>
  <c r="J1726" i="8"/>
  <c r="J1571" i="8"/>
  <c r="J1558" i="8"/>
  <c r="J1581" i="8"/>
  <c r="J1660" i="8"/>
  <c r="J1694" i="8"/>
  <c r="J1728" i="8"/>
  <c r="J214" i="8"/>
  <c r="J1569" i="8"/>
  <c r="J1580" i="8"/>
  <c r="J1692" i="8"/>
  <c r="J1729" i="8"/>
  <c r="H1647" i="8"/>
  <c r="H1556" i="8"/>
  <c r="H1659" i="8"/>
  <c r="G1554" i="8"/>
  <c r="H1730" i="8"/>
  <c r="H190" i="8"/>
  <c r="G1661" i="8"/>
  <c r="H1570" i="8"/>
  <c r="G1550" i="8"/>
  <c r="G1635" i="8"/>
  <c r="H1678" i="8"/>
  <c r="G1646" i="8"/>
  <c r="G1643" i="8" s="1"/>
  <c r="G1642" i="8" s="1"/>
  <c r="G1552" i="8"/>
  <c r="G1607" i="8"/>
  <c r="G1551" i="8"/>
  <c r="G1575" i="8"/>
  <c r="H1576" i="8"/>
  <c r="H1545" i="8"/>
  <c r="H1543" i="8"/>
  <c r="H1541" i="8"/>
  <c r="G1542" i="8"/>
  <c r="H1534" i="8"/>
  <c r="H1535" i="8"/>
  <c r="H1536" i="8"/>
  <c r="H1537" i="8"/>
  <c r="H1531" i="8"/>
  <c r="G1527" i="8"/>
  <c r="G1525" i="8" s="1"/>
  <c r="G1523" i="8"/>
  <c r="G1510" i="8"/>
  <c r="G1508" i="8" s="1"/>
  <c r="H1512" i="8"/>
  <c r="H1513" i="8"/>
  <c r="H1514" i="8"/>
  <c r="H1515" i="8"/>
  <c r="H1516" i="8"/>
  <c r="H1517" i="8"/>
  <c r="H1518" i="8"/>
  <c r="H1519" i="8"/>
  <c r="H1522" i="8"/>
  <c r="H1501" i="8"/>
  <c r="H1502" i="8"/>
  <c r="H1505" i="8"/>
  <c r="G1498" i="8"/>
  <c r="G1496" i="8" s="1"/>
  <c r="G1489" i="8"/>
  <c r="G1487" i="8" s="1"/>
  <c r="H1492" i="8"/>
  <c r="H1493" i="8"/>
  <c r="H1495" i="8"/>
  <c r="H1490" i="8"/>
  <c r="H1483" i="8"/>
  <c r="H1484" i="8"/>
  <c r="H1486" i="8"/>
  <c r="G1472" i="8"/>
  <c r="G1469" i="8" s="1"/>
  <c r="G1467" i="8" s="1"/>
  <c r="H1466" i="8"/>
  <c r="G1454" i="8"/>
  <c r="G1453" i="8" s="1"/>
  <c r="H1460" i="8"/>
  <c r="H1457" i="8"/>
  <c r="H1458" i="8"/>
  <c r="G1438" i="8"/>
  <c r="G1436" i="8"/>
  <c r="G1425" i="8"/>
  <c r="G1422" i="8" s="1"/>
  <c r="G1412" i="8"/>
  <c r="G1409" i="8" s="1"/>
  <c r="G1406" i="8"/>
  <c r="G1394" i="8"/>
  <c r="G1390" i="8" s="1"/>
  <c r="G1375" i="8"/>
  <c r="G1377" i="8"/>
  <c r="G1352" i="8"/>
  <c r="G1348" i="8" s="1"/>
  <c r="G1344" i="8"/>
  <c r="G1340" i="8"/>
  <c r="G1338" i="8" s="1"/>
  <c r="G1336" i="8"/>
  <c r="G1332" i="8"/>
  <c r="G1330" i="8" s="1"/>
  <c r="G1304" i="8"/>
  <c r="G1302" i="8" s="1"/>
  <c r="G1300" i="8"/>
  <c r="G1295" i="8"/>
  <c r="G1293" i="8" s="1"/>
  <c r="H1287" i="8"/>
  <c r="H1288" i="8"/>
  <c r="H1289" i="8"/>
  <c r="H1290" i="8"/>
  <c r="G1268" i="8"/>
  <c r="G1266" i="8" s="1"/>
  <c r="G1262" i="8"/>
  <c r="G1264" i="8"/>
  <c r="G1258" i="8"/>
  <c r="G1256" i="8" s="1"/>
  <c r="H1250" i="8"/>
  <c r="H1251" i="8"/>
  <c r="G1231" i="8"/>
  <c r="G1229" i="8" s="1"/>
  <c r="G1227" i="8"/>
  <c r="G1223" i="8"/>
  <c r="G1221" i="8" s="1"/>
  <c r="H1212" i="8"/>
  <c r="H1213" i="8"/>
  <c r="H1214" i="8"/>
  <c r="H1215" i="8"/>
  <c r="H1216" i="8"/>
  <c r="H1217" i="8"/>
  <c r="H1218" i="8"/>
  <c r="H1219" i="8"/>
  <c r="G1200" i="8"/>
  <c r="G1196" i="8" s="1"/>
  <c r="H1188" i="8"/>
  <c r="G1171" i="8"/>
  <c r="G1169" i="8" s="1"/>
  <c r="H1150" i="8"/>
  <c r="H1151" i="8"/>
  <c r="H1152" i="8"/>
  <c r="H1153" i="8"/>
  <c r="H1155" i="8"/>
  <c r="H1154" i="8"/>
  <c r="H1156" i="8"/>
  <c r="H1157" i="8"/>
  <c r="H1158" i="8"/>
  <c r="H1161" i="8"/>
  <c r="H1162" i="8"/>
  <c r="H1163" i="8"/>
  <c r="H1164" i="8"/>
  <c r="H1165" i="8"/>
  <c r="G1148" i="8"/>
  <c r="G1145" i="8" s="1"/>
  <c r="G1140" i="8"/>
  <c r="G1139" i="8" s="1"/>
  <c r="H1142" i="8"/>
  <c r="H1141" i="8"/>
  <c r="H1136" i="8"/>
  <c r="H1137" i="8"/>
  <c r="G1118" i="8"/>
  <c r="G1115" i="8" s="1"/>
  <c r="H1102" i="8"/>
  <c r="G1091" i="8"/>
  <c r="G1088" i="8" s="1"/>
  <c r="G1086" i="8" s="1"/>
  <c r="H1065" i="8"/>
  <c r="H1071" i="8"/>
  <c r="H1072" i="8"/>
  <c r="H1073" i="8"/>
  <c r="H1075" i="8"/>
  <c r="H1078" i="8"/>
  <c r="H1079" i="8"/>
  <c r="H1081" i="8"/>
  <c r="H1082" i="8"/>
  <c r="H1083" i="8"/>
  <c r="H1084" i="8"/>
  <c r="H1085" i="8"/>
  <c r="G1066" i="8"/>
  <c r="G1063" i="8" s="1"/>
  <c r="H1044" i="8"/>
  <c r="H1045" i="8"/>
  <c r="H1046" i="8"/>
  <c r="H1047" i="8"/>
  <c r="H1048" i="8"/>
  <c r="H1049" i="8"/>
  <c r="H1051" i="8"/>
  <c r="H1052" i="8"/>
  <c r="H1053" i="8"/>
  <c r="H1054" i="8"/>
  <c r="H1055" i="8"/>
  <c r="H1056" i="8"/>
  <c r="H1058" i="8"/>
  <c r="G1039" i="8"/>
  <c r="G1036" i="8" s="1"/>
  <c r="G562" i="8"/>
  <c r="G560" i="8" s="1"/>
  <c r="H459" i="8"/>
  <c r="H460" i="8"/>
  <c r="H462" i="8"/>
  <c r="H455" i="8"/>
  <c r="H419" i="8"/>
  <c r="H412" i="8"/>
  <c r="H413" i="8"/>
  <c r="H414" i="8"/>
  <c r="H415" i="8"/>
  <c r="H416" i="8"/>
  <c r="H417" i="8"/>
  <c r="H418" i="8"/>
  <c r="H422" i="8"/>
  <c r="H423" i="8"/>
  <c r="H1019" i="8"/>
  <c r="H1020" i="8"/>
  <c r="H1021" i="8"/>
  <c r="H1022" i="8"/>
  <c r="H1023" i="8"/>
  <c r="H1024" i="8"/>
  <c r="H1026" i="8"/>
  <c r="G1013" i="8"/>
  <c r="G1017" i="8"/>
  <c r="G1015" i="8" s="1"/>
  <c r="H1011" i="8"/>
  <c r="G1009" i="8"/>
  <c r="G1007" i="8" s="1"/>
  <c r="G1001" i="8"/>
  <c r="G1000" i="8" s="1"/>
  <c r="G998" i="8" s="1"/>
  <c r="H1003" i="8"/>
  <c r="H1004" i="8"/>
  <c r="H1005" i="8"/>
  <c r="G995" i="8"/>
  <c r="H987" i="8"/>
  <c r="H988" i="8"/>
  <c r="H989" i="8"/>
  <c r="H990" i="8"/>
  <c r="H991" i="8"/>
  <c r="H992" i="8"/>
  <c r="H985" i="8"/>
  <c r="G971" i="8"/>
  <c r="G969" i="8" s="1"/>
  <c r="H960" i="8"/>
  <c r="H961" i="8"/>
  <c r="H964" i="8"/>
  <c r="H965" i="8"/>
  <c r="H966" i="8"/>
  <c r="H967" i="8"/>
  <c r="G944" i="8"/>
  <c r="H937" i="8"/>
  <c r="G927" i="8"/>
  <c r="G924" i="8" s="1"/>
  <c r="G922" i="8" s="1"/>
  <c r="H913" i="8"/>
  <c r="H917" i="8"/>
  <c r="H918" i="8"/>
  <c r="G891" i="8"/>
  <c r="G872" i="8"/>
  <c r="G868" i="8" s="1"/>
  <c r="G866" i="8" s="1"/>
  <c r="H852" i="8"/>
  <c r="G850" i="8"/>
  <c r="G840" i="8"/>
  <c r="G836" i="8" s="1"/>
  <c r="G834" i="8" s="1"/>
  <c r="H828" i="8"/>
  <c r="H829" i="8"/>
  <c r="H830" i="8"/>
  <c r="H831" i="8"/>
  <c r="H821" i="8"/>
  <c r="H822" i="8"/>
  <c r="H823" i="8"/>
  <c r="H824" i="8"/>
  <c r="H825" i="8"/>
  <c r="H826" i="8"/>
  <c r="H827" i="8"/>
  <c r="G819" i="8"/>
  <c r="G815" i="8" s="1"/>
  <c r="G813" i="8" s="1"/>
  <c r="G811" i="8"/>
  <c r="G809" i="8" s="1"/>
  <c r="G799" i="8"/>
  <c r="G795" i="8" s="1"/>
  <c r="G793" i="8" s="1"/>
  <c r="H779" i="8"/>
  <c r="H780" i="8"/>
  <c r="H781" i="8"/>
  <c r="H782" i="8"/>
  <c r="H783" i="8"/>
  <c r="H784" i="8"/>
  <c r="G776" i="8"/>
  <c r="G772" i="8" s="1"/>
  <c r="G770" i="8" s="1"/>
  <c r="G749" i="8"/>
  <c r="G747" i="8" s="1"/>
  <c r="H767" i="8"/>
  <c r="H751" i="8"/>
  <c r="H737" i="8"/>
  <c r="H738" i="8"/>
  <c r="H739" i="8"/>
  <c r="H740" i="8"/>
  <c r="H741" i="8"/>
  <c r="G735" i="8"/>
  <c r="G731" i="8" s="1"/>
  <c r="H733" i="8"/>
  <c r="H734" i="8"/>
  <c r="H732" i="8"/>
  <c r="H724" i="8"/>
  <c r="H725" i="8"/>
  <c r="H726" i="8"/>
  <c r="G718" i="8"/>
  <c r="G714" i="8" s="1"/>
  <c r="H706" i="8"/>
  <c r="H707" i="8"/>
  <c r="H708" i="8"/>
  <c r="H709" i="8"/>
  <c r="H703" i="8"/>
  <c r="G701" i="8"/>
  <c r="H700" i="8"/>
  <c r="G692" i="8"/>
  <c r="G690" i="8" s="1"/>
  <c r="H694" i="8"/>
  <c r="H683" i="8"/>
  <c r="G682" i="8"/>
  <c r="G679" i="8" s="1"/>
  <c r="H663" i="8"/>
  <c r="H664" i="8"/>
  <c r="H665" i="8"/>
  <c r="H667" i="8"/>
  <c r="G655" i="8"/>
  <c r="G653" i="8" s="1"/>
  <c r="G630" i="8"/>
  <c r="G628" i="8" s="1"/>
  <c r="H650" i="8"/>
  <c r="H637" i="8"/>
  <c r="H638" i="8"/>
  <c r="H639" i="8"/>
  <c r="H640" i="8"/>
  <c r="H641" i="8"/>
  <c r="H642" i="8"/>
  <c r="H635" i="8"/>
  <c r="H619" i="8"/>
  <c r="H618" i="8"/>
  <c r="H620" i="8"/>
  <c r="G616" i="8"/>
  <c r="G613" i="8" s="1"/>
  <c r="G601" i="8"/>
  <c r="G597" i="8" s="1"/>
  <c r="G595" i="8" s="1"/>
  <c r="H579" i="8"/>
  <c r="H580" i="8"/>
  <c r="H581" i="8"/>
  <c r="H582" i="8"/>
  <c r="H583" i="8"/>
  <c r="H584" i="8"/>
  <c r="H577" i="8"/>
  <c r="H568" i="8"/>
  <c r="H569" i="8"/>
  <c r="H570" i="8"/>
  <c r="H571" i="8"/>
  <c r="H572" i="8"/>
  <c r="H573" i="8"/>
  <c r="H574" i="8"/>
  <c r="H576" i="8"/>
  <c r="H564" i="8"/>
  <c r="H565" i="8"/>
  <c r="H553" i="8"/>
  <c r="H554" i="8"/>
  <c r="H556" i="8"/>
  <c r="H539" i="8"/>
  <c r="H540" i="8"/>
  <c r="G537" i="8"/>
  <c r="G535" i="8" s="1"/>
  <c r="H526" i="8"/>
  <c r="H527" i="8"/>
  <c r="H528" i="8"/>
  <c r="H529" i="8"/>
  <c r="H530" i="8"/>
  <c r="H531" i="8"/>
  <c r="G524" i="8"/>
  <c r="G522" i="8" s="1"/>
  <c r="H516" i="8"/>
  <c r="H517" i="8"/>
  <c r="J517" i="8" s="1"/>
  <c r="G518" i="8"/>
  <c r="G515" i="8" s="1"/>
  <c r="H508" i="8"/>
  <c r="H509" i="8"/>
  <c r="H510" i="8"/>
  <c r="H511" i="8"/>
  <c r="H512" i="8"/>
  <c r="H513" i="8"/>
  <c r="H514" i="8"/>
  <c r="H506" i="8"/>
  <c r="H498" i="8"/>
  <c r="H499" i="8"/>
  <c r="H500" i="8"/>
  <c r="H501" i="8"/>
  <c r="H502" i="8"/>
  <c r="H503" i="8"/>
  <c r="H504" i="8"/>
  <c r="H505" i="8"/>
  <c r="G496" i="8"/>
  <c r="G492" i="8" s="1"/>
  <c r="H494" i="8"/>
  <c r="H495" i="8"/>
  <c r="G488" i="8"/>
  <c r="G477" i="8"/>
  <c r="G473" i="8" s="1"/>
  <c r="G471" i="8" s="1"/>
  <c r="H479" i="8"/>
  <c r="H480" i="8"/>
  <c r="H481" i="8"/>
  <c r="H482" i="8"/>
  <c r="H483" i="8"/>
  <c r="H484" i="8"/>
  <c r="H485" i="8"/>
  <c r="H486" i="8"/>
  <c r="H472" i="8"/>
  <c r="H466" i="8"/>
  <c r="G467" i="8"/>
  <c r="G465" i="8" s="1"/>
  <c r="H470" i="8"/>
  <c r="G444" i="8"/>
  <c r="G440" i="8" s="1"/>
  <c r="G438" i="8" s="1"/>
  <c r="H435" i="8"/>
  <c r="G427" i="8"/>
  <c r="G410" i="8"/>
  <c r="G408" i="8" s="1"/>
  <c r="G406" i="8" s="1"/>
  <c r="G390" i="8"/>
  <c r="G389" i="8" s="1"/>
  <c r="G383" i="8" s="1"/>
  <c r="G378" i="8"/>
  <c r="G368" i="8"/>
  <c r="G366" i="8" s="1"/>
  <c r="G347" i="8"/>
  <c r="G345" i="8" s="1"/>
  <c r="F348" i="8"/>
  <c r="H363" i="8"/>
  <c r="H364" i="8"/>
  <c r="H365" i="8"/>
  <c r="H349" i="8"/>
  <c r="H350" i="8"/>
  <c r="H351" i="8"/>
  <c r="H352" i="8"/>
  <c r="H353" i="8"/>
  <c r="H354" i="8"/>
  <c r="H355" i="8"/>
  <c r="H356" i="8"/>
  <c r="H357" i="8"/>
  <c r="H358" i="8"/>
  <c r="H344" i="8"/>
  <c r="G340" i="8"/>
  <c r="G339" i="8" s="1"/>
  <c r="H336" i="8"/>
  <c r="G330" i="8"/>
  <c r="G327" i="8" s="1"/>
  <c r="G323" i="8"/>
  <c r="H298" i="8"/>
  <c r="H299" i="8"/>
  <c r="H300" i="8"/>
  <c r="H301" i="8"/>
  <c r="G295" i="8"/>
  <c r="G293" i="8" s="1"/>
  <c r="G285" i="8"/>
  <c r="G196" i="8"/>
  <c r="G198" i="8"/>
  <c r="H274" i="8"/>
  <c r="H266" i="8"/>
  <c r="H260" i="8"/>
  <c r="H261" i="8"/>
  <c r="H262" i="8"/>
  <c r="H264" i="8"/>
  <c r="H258" i="8"/>
  <c r="H254" i="8"/>
  <c r="H217" i="8"/>
  <c r="G252" i="8"/>
  <c r="G250" i="8" s="1"/>
  <c r="H246" i="8"/>
  <c r="H247" i="8"/>
  <c r="H248" i="8"/>
  <c r="H249" i="8"/>
  <c r="H244" i="8"/>
  <c r="G243" i="8"/>
  <c r="G241" i="8" s="1"/>
  <c r="G10" i="8"/>
  <c r="G221" i="8"/>
  <c r="G219" i="8" s="1"/>
  <c r="H226" i="8"/>
  <c r="H233" i="8"/>
  <c r="H234" i="8"/>
  <c r="H235" i="8"/>
  <c r="H232" i="8"/>
  <c r="G230" i="8"/>
  <c r="G216" i="8"/>
  <c r="G215" i="8" s="1"/>
  <c r="G209" i="8"/>
  <c r="G208" i="8" s="1"/>
  <c r="G201" i="8"/>
  <c r="G184" i="8"/>
  <c r="G167" i="8"/>
  <c r="H170" i="8"/>
  <c r="H171" i="8"/>
  <c r="G178" i="8"/>
  <c r="G175" i="8" s="1"/>
  <c r="G180" i="8"/>
  <c r="G174" i="8" s="1"/>
  <c r="G186" i="8"/>
  <c r="G141" i="8"/>
  <c r="G138" i="8" s="1"/>
  <c r="G129" i="8"/>
  <c r="G97" i="8"/>
  <c r="G93" i="8"/>
  <c r="G77" i="8"/>
  <c r="G5" i="8"/>
  <c r="H1867" i="8"/>
  <c r="H1866" i="8"/>
  <c r="H1861" i="8"/>
  <c r="J1861" i="8" s="1"/>
  <c r="H1787" i="8"/>
  <c r="J1787" i="8" s="1"/>
  <c r="H1786" i="8"/>
  <c r="J1786" i="8" s="1"/>
  <c r="H1784" i="8"/>
  <c r="H1775" i="8"/>
  <c r="J1775" i="8" s="1"/>
  <c r="H1774" i="8"/>
  <c r="J1774" i="8" s="1"/>
  <c r="H1759" i="8"/>
  <c r="J1759" i="8" s="1"/>
  <c r="H1758" i="8"/>
  <c r="J1758" i="8" s="1"/>
  <c r="H1757" i="8"/>
  <c r="J1757" i="8" s="1"/>
  <c r="H1756" i="8"/>
  <c r="J1756" i="8" s="1"/>
  <c r="H1754" i="8"/>
  <c r="J1754" i="8" s="1"/>
  <c r="H1753" i="8"/>
  <c r="J1753" i="8" s="1"/>
  <c r="H1752" i="8"/>
  <c r="J1752" i="8" s="1"/>
  <c r="H1751" i="8"/>
  <c r="J1751" i="8" s="1"/>
  <c r="H1750" i="8"/>
  <c r="J1750" i="8" s="1"/>
  <c r="H1747" i="8"/>
  <c r="J1747" i="8" s="1"/>
  <c r="H1746" i="8"/>
  <c r="J1746" i="8" s="1"/>
  <c r="H1725" i="8"/>
  <c r="H1714" i="8"/>
  <c r="H1712" i="8"/>
  <c r="H1701" i="8"/>
  <c r="H1699" i="8"/>
  <c r="H1696" i="8"/>
  <c r="H1695" i="8"/>
  <c r="H1684" i="8"/>
  <c r="H1675" i="8"/>
  <c r="H1671" i="8"/>
  <c r="H1670" i="8"/>
  <c r="H1669" i="8"/>
  <c r="H1668" i="8"/>
  <c r="H1667" i="8"/>
  <c r="H1666" i="8"/>
  <c r="H1665" i="8"/>
  <c r="H1664" i="8"/>
  <c r="H1663" i="8"/>
  <c r="H1637" i="8"/>
  <c r="H1636" i="8"/>
  <c r="H1634" i="8"/>
  <c r="H1624" i="8"/>
  <c r="H1612" i="8"/>
  <c r="H1611" i="8"/>
  <c r="H1609" i="8"/>
  <c r="H1598" i="8"/>
  <c r="H1596" i="8"/>
  <c r="H1585" i="8"/>
  <c r="H1584" i="8"/>
  <c r="H1568" i="8"/>
  <c r="H1539" i="8"/>
  <c r="H1538" i="8"/>
  <c r="H1533" i="8"/>
  <c r="H1529" i="8"/>
  <c r="H1528" i="8"/>
  <c r="H1526" i="8"/>
  <c r="H1524" i="8"/>
  <c r="H1520" i="8"/>
  <c r="H1511" i="8"/>
  <c r="H1509" i="8"/>
  <c r="H1507" i="8"/>
  <c r="H1499" i="8"/>
  <c r="H1497" i="8"/>
  <c r="H1491" i="8"/>
  <c r="H1488" i="8"/>
  <c r="H1481" i="8"/>
  <c r="H1480" i="8"/>
  <c r="H1479" i="8"/>
  <c r="H1478" i="8"/>
  <c r="H1477" i="8"/>
  <c r="H1476" i="8"/>
  <c r="H1475" i="8"/>
  <c r="H1474" i="8"/>
  <c r="H1473" i="8"/>
  <c r="H1471" i="8"/>
  <c r="H1470" i="8"/>
  <c r="H1468" i="8"/>
  <c r="H1463" i="8"/>
  <c r="H1462" i="8"/>
  <c r="H1452" i="8"/>
  <c r="H1439" i="8"/>
  <c r="H1437" i="8"/>
  <c r="H1435" i="8"/>
  <c r="H1434" i="8"/>
  <c r="H1433" i="8"/>
  <c r="H1432" i="8"/>
  <c r="H1431" i="8"/>
  <c r="H1429" i="8"/>
  <c r="H1428" i="8"/>
  <c r="H1427" i="8"/>
  <c r="H1426" i="8"/>
  <c r="H1424" i="8"/>
  <c r="H1423" i="8"/>
  <c r="H1421" i="8"/>
  <c r="H1420" i="8"/>
  <c r="H1419" i="8"/>
  <c r="H1418" i="8"/>
  <c r="H1417" i="8"/>
  <c r="H1416" i="8"/>
  <c r="H1415" i="8"/>
  <c r="H1414" i="8"/>
  <c r="H1413" i="8"/>
  <c r="H1408" i="8"/>
  <c r="H1407" i="8"/>
  <c r="H1405" i="8"/>
  <c r="H1404" i="8"/>
  <c r="H1403" i="8"/>
  <c r="H1402" i="8"/>
  <c r="H1401" i="8"/>
  <c r="H1400" i="8"/>
  <c r="H1399" i="8"/>
  <c r="H1397" i="8"/>
  <c r="H1396" i="8"/>
  <c r="H1395" i="8"/>
  <c r="H1392" i="8"/>
  <c r="H1391" i="8"/>
  <c r="H1389" i="8"/>
  <c r="H1388" i="8"/>
  <c r="H1376" i="8"/>
  <c r="H1373" i="8"/>
  <c r="H1371" i="8"/>
  <c r="H1370" i="8"/>
  <c r="H1369" i="8"/>
  <c r="J1369" i="8" s="1"/>
  <c r="H1368" i="8"/>
  <c r="H1366" i="8"/>
  <c r="H1365" i="8"/>
  <c r="H1364" i="8"/>
  <c r="H1363" i="8"/>
  <c r="H1362" i="8"/>
  <c r="H1361" i="8"/>
  <c r="H1360" i="8"/>
  <c r="H1359" i="8"/>
  <c r="H1358" i="8"/>
  <c r="H1357" i="8"/>
  <c r="H1356" i="8"/>
  <c r="H1355" i="8"/>
  <c r="H1354" i="8"/>
  <c r="H1353" i="8"/>
  <c r="H1351" i="8"/>
  <c r="H1350" i="8"/>
  <c r="H1349" i="8"/>
  <c r="H1347" i="8"/>
  <c r="H1345" i="8"/>
  <c r="H1343" i="8"/>
  <c r="H1342" i="8"/>
  <c r="H1341" i="8"/>
  <c r="H1339" i="8"/>
  <c r="H1337" i="8"/>
  <c r="H1335" i="8"/>
  <c r="H1334" i="8"/>
  <c r="H1333" i="8"/>
  <c r="H1331" i="8"/>
  <c r="H1329" i="8"/>
  <c r="H1328" i="8"/>
  <c r="H1327" i="8"/>
  <c r="H1325" i="8"/>
  <c r="H1323" i="8"/>
  <c r="H1322" i="8"/>
  <c r="H1321" i="8"/>
  <c r="H1320" i="8"/>
  <c r="H1317" i="8"/>
  <c r="H1316" i="8"/>
  <c r="H1315" i="8"/>
  <c r="H1314" i="8"/>
  <c r="H1313" i="8"/>
  <c r="H1312" i="8"/>
  <c r="H1311" i="8"/>
  <c r="H1310" i="8"/>
  <c r="H1307" i="8"/>
  <c r="H1305" i="8"/>
  <c r="H1303" i="8"/>
  <c r="H1301" i="8"/>
  <c r="H1298" i="8"/>
  <c r="H1297" i="8"/>
  <c r="H1296" i="8"/>
  <c r="H1294" i="8"/>
  <c r="H1286" i="8"/>
  <c r="H1285" i="8"/>
  <c r="H1284" i="8"/>
  <c r="H1283" i="8"/>
  <c r="H1281" i="8"/>
  <c r="H1280" i="8"/>
  <c r="H1279" i="8"/>
  <c r="H1278" i="8"/>
  <c r="H1277" i="8"/>
  <c r="H1276" i="8"/>
  <c r="H1275" i="8"/>
  <c r="H1274" i="8"/>
  <c r="H1273" i="8"/>
  <c r="H1271" i="8"/>
  <c r="H1270" i="8"/>
  <c r="H1269" i="8"/>
  <c r="H1267" i="8"/>
  <c r="H1265" i="8"/>
  <c r="H1263" i="8"/>
  <c r="H1261" i="8"/>
  <c r="H1260" i="8"/>
  <c r="H1259" i="8"/>
  <c r="H1257" i="8"/>
  <c r="H1254" i="8"/>
  <c r="H1253" i="8"/>
  <c r="H1252" i="8"/>
  <c r="H1249" i="8"/>
  <c r="H1248" i="8"/>
  <c r="H1247" i="8"/>
  <c r="H1243" i="8"/>
  <c r="H1242" i="8"/>
  <c r="H1241" i="8"/>
  <c r="H1240" i="8"/>
  <c r="H1239" i="8"/>
  <c r="H1238" i="8"/>
  <c r="H1237" i="8"/>
  <c r="H1236" i="8"/>
  <c r="H1234" i="8"/>
  <c r="H1233" i="8"/>
  <c r="H1232" i="8"/>
  <c r="H1230" i="8"/>
  <c r="H1228" i="8"/>
  <c r="H1226" i="8"/>
  <c r="H1225" i="8"/>
  <c r="H1224" i="8"/>
  <c r="H1222" i="8"/>
  <c r="H1220" i="8"/>
  <c r="H1211" i="8"/>
  <c r="H1210" i="8"/>
  <c r="H1209" i="8"/>
  <c r="H1208" i="8"/>
  <c r="H1207" i="8"/>
  <c r="H1206" i="8"/>
  <c r="H1205" i="8"/>
  <c r="H1204" i="8"/>
  <c r="H1203" i="8"/>
  <c r="H1202" i="8"/>
  <c r="H1201" i="8"/>
  <c r="H1199" i="8"/>
  <c r="H1198" i="8"/>
  <c r="H1197" i="8"/>
  <c r="H1195" i="8"/>
  <c r="H1193" i="8"/>
  <c r="H1192" i="8"/>
  <c r="H1191" i="8"/>
  <c r="H1190" i="8"/>
  <c r="H1189" i="8"/>
  <c r="H1187" i="8"/>
  <c r="H1186" i="8"/>
  <c r="H1185" i="8"/>
  <c r="H1183" i="8"/>
  <c r="J1183" i="8" s="1"/>
  <c r="H1182" i="8"/>
  <c r="J1182" i="8" s="1"/>
  <c r="H1180" i="8"/>
  <c r="J1180" i="8" s="1"/>
  <c r="H1181" i="8"/>
  <c r="J1181" i="8" s="1"/>
  <c r="H1179" i="8"/>
  <c r="J1179" i="8" s="1"/>
  <c r="H1178" i="8"/>
  <c r="J1178" i="8" s="1"/>
  <c r="H1177" i="8"/>
  <c r="J1177" i="8" s="1"/>
  <c r="H1176" i="8"/>
  <c r="H1175" i="8"/>
  <c r="H1173" i="8"/>
  <c r="H1172" i="8"/>
  <c r="H1170" i="8"/>
  <c r="H1168" i="8"/>
  <c r="H1167" i="8"/>
  <c r="H1166" i="8"/>
  <c r="H1160" i="8"/>
  <c r="H1149" i="8"/>
  <c r="H1147" i="8"/>
  <c r="H1144" i="8"/>
  <c r="H1138" i="8"/>
  <c r="H1135" i="8"/>
  <c r="H1134" i="8"/>
  <c r="H1133" i="8"/>
  <c r="H1132" i="8"/>
  <c r="H1131" i="8"/>
  <c r="H1130" i="8"/>
  <c r="H1129" i="8"/>
  <c r="H1127" i="8"/>
  <c r="H1126" i="8"/>
  <c r="H1125" i="8"/>
  <c r="H1124" i="8"/>
  <c r="H1123" i="8"/>
  <c r="H1122" i="8"/>
  <c r="H1121" i="8"/>
  <c r="H1120" i="8"/>
  <c r="H1119" i="8"/>
  <c r="H1117" i="8"/>
  <c r="H1116" i="8"/>
  <c r="H1114" i="8"/>
  <c r="H1110" i="8"/>
  <c r="H1109" i="8"/>
  <c r="H1108" i="8"/>
  <c r="H1107" i="8"/>
  <c r="H1106" i="8"/>
  <c r="H1105" i="8"/>
  <c r="H1104" i="8"/>
  <c r="H1103" i="8"/>
  <c r="H1101" i="8"/>
  <c r="H1100" i="8"/>
  <c r="H1099" i="8"/>
  <c r="H1097" i="8"/>
  <c r="H1098" i="8"/>
  <c r="H1096" i="8"/>
  <c r="H1095" i="8"/>
  <c r="H1094" i="8"/>
  <c r="H1093" i="8"/>
  <c r="H1092" i="8"/>
  <c r="H1090" i="8"/>
  <c r="H1089" i="8"/>
  <c r="H1087" i="8"/>
  <c r="H1077" i="8"/>
  <c r="H1070" i="8"/>
  <c r="H1069" i="8"/>
  <c r="H1068" i="8"/>
  <c r="H1067" i="8"/>
  <c r="H1064" i="8"/>
  <c r="H1062" i="8"/>
  <c r="H1059" i="8"/>
  <c r="H1057" i="8"/>
  <c r="H1050" i="8"/>
  <c r="H1043" i="8"/>
  <c r="H1042" i="8"/>
  <c r="H1041" i="8"/>
  <c r="H1040" i="8"/>
  <c r="H1038" i="8"/>
  <c r="H1037" i="8"/>
  <c r="H1035" i="8"/>
  <c r="H1018" i="8"/>
  <c r="H1016" i="8"/>
  <c r="H1014" i="8"/>
  <c r="H1008" i="8"/>
  <c r="H1002" i="8"/>
  <c r="H999" i="8"/>
  <c r="H996" i="8"/>
  <c r="H986" i="8"/>
  <c r="H982" i="8"/>
  <c r="H981" i="8"/>
  <c r="H980" i="8"/>
  <c r="H979" i="8"/>
  <c r="H978" i="8"/>
  <c r="H977" i="8"/>
  <c r="H976" i="8"/>
  <c r="H973" i="8"/>
  <c r="H972" i="8"/>
  <c r="H970" i="8"/>
  <c r="H963" i="8"/>
  <c r="H958" i="8"/>
  <c r="H957" i="8"/>
  <c r="H956" i="8"/>
  <c r="H955" i="8"/>
  <c r="H954" i="8"/>
  <c r="H953" i="8"/>
  <c r="H952" i="8"/>
  <c r="H951" i="8"/>
  <c r="H950" i="8"/>
  <c r="H948" i="8"/>
  <c r="H947" i="8"/>
  <c r="H945" i="8"/>
  <c r="H943" i="8"/>
  <c r="H942" i="8"/>
  <c r="H941" i="8"/>
  <c r="H940" i="8"/>
  <c r="H939" i="8"/>
  <c r="H938" i="8"/>
  <c r="H936" i="8"/>
  <c r="H934" i="8"/>
  <c r="H933" i="8"/>
  <c r="H932" i="8"/>
  <c r="H931" i="8"/>
  <c r="H930" i="8"/>
  <c r="H929" i="8"/>
  <c r="H926" i="8"/>
  <c r="H925" i="8"/>
  <c r="H921" i="8"/>
  <c r="H919" i="8"/>
  <c r="H916" i="8"/>
  <c r="H915" i="8"/>
  <c r="H914" i="8"/>
  <c r="H911" i="8"/>
  <c r="H910" i="8"/>
  <c r="H909" i="8"/>
  <c r="H908" i="8"/>
  <c r="H907" i="8"/>
  <c r="H906" i="8"/>
  <c r="H905" i="8"/>
  <c r="H904" i="8"/>
  <c r="H902" i="8"/>
  <c r="H901" i="8"/>
  <c r="H899" i="8"/>
  <c r="H896" i="8"/>
  <c r="H894" i="8"/>
  <c r="H893" i="8"/>
  <c r="H890" i="8"/>
  <c r="H889" i="8"/>
  <c r="H887" i="8"/>
  <c r="H882" i="8"/>
  <c r="H881" i="8"/>
  <c r="H876" i="8"/>
  <c r="H873" i="8"/>
  <c r="H870" i="8"/>
  <c r="H869" i="8"/>
  <c r="H867" i="8"/>
  <c r="H865" i="8"/>
  <c r="H864" i="8"/>
  <c r="H861" i="8"/>
  <c r="H860" i="8"/>
  <c r="H858" i="8"/>
  <c r="H857" i="8"/>
  <c r="H856" i="8"/>
  <c r="H855" i="8"/>
  <c r="H853" i="8"/>
  <c r="H851" i="8"/>
  <c r="H849" i="8"/>
  <c r="H847" i="8"/>
  <c r="H846" i="8"/>
  <c r="H845" i="8"/>
  <c r="H844" i="8"/>
  <c r="H843" i="8"/>
  <c r="H842" i="8"/>
  <c r="H841" i="8"/>
  <c r="H839" i="8"/>
  <c r="H838" i="8"/>
  <c r="H835" i="8"/>
  <c r="H833" i="8"/>
  <c r="H832" i="8"/>
  <c r="H820" i="8"/>
  <c r="H818" i="8"/>
  <c r="H817" i="8"/>
  <c r="H816" i="8"/>
  <c r="H814" i="8"/>
  <c r="H812" i="8"/>
  <c r="H810" i="8"/>
  <c r="H808" i="8"/>
  <c r="H807" i="8"/>
  <c r="H805" i="8"/>
  <c r="H804" i="8"/>
  <c r="H803" i="8"/>
  <c r="H802" i="8"/>
  <c r="H801" i="8"/>
  <c r="H800" i="8"/>
  <c r="H798" i="8"/>
  <c r="J798" i="8" s="1"/>
  <c r="H796" i="8"/>
  <c r="H794" i="8"/>
  <c r="H792" i="8"/>
  <c r="H791" i="8"/>
  <c r="H790" i="8"/>
  <c r="H789" i="8"/>
  <c r="H788" i="8"/>
  <c r="H787" i="8"/>
  <c r="H786" i="8"/>
  <c r="H777" i="8"/>
  <c r="H775" i="8"/>
  <c r="H774" i="8"/>
  <c r="H773" i="8"/>
  <c r="H771" i="8"/>
  <c r="H769" i="8"/>
  <c r="H768" i="8"/>
  <c r="H764" i="8"/>
  <c r="H763" i="8"/>
  <c r="H762" i="8"/>
  <c r="H757" i="8"/>
  <c r="H756" i="8"/>
  <c r="H755" i="8"/>
  <c r="H752" i="8"/>
  <c r="H750" i="8"/>
  <c r="H748" i="8"/>
  <c r="H746" i="8"/>
  <c r="H745" i="8"/>
  <c r="H744" i="8"/>
  <c r="H743" i="8"/>
  <c r="H742" i="8"/>
  <c r="H736" i="8"/>
  <c r="H730" i="8"/>
  <c r="H728" i="8"/>
  <c r="H727" i="8"/>
  <c r="H723" i="8"/>
  <c r="H722" i="8"/>
  <c r="H720" i="8"/>
  <c r="H719" i="8"/>
  <c r="H717" i="8"/>
  <c r="H716" i="8"/>
  <c r="H715" i="8"/>
  <c r="H713" i="8"/>
  <c r="H704" i="8"/>
  <c r="H697" i="8"/>
  <c r="H696" i="8"/>
  <c r="H691" i="8"/>
  <c r="H688" i="8"/>
  <c r="H687" i="8"/>
  <c r="H684" i="8"/>
  <c r="H678" i="8"/>
  <c r="H676" i="8"/>
  <c r="H675" i="8"/>
  <c r="H674" i="8"/>
  <c r="H673" i="8"/>
  <c r="H671" i="8"/>
  <c r="H669" i="8"/>
  <c r="H661" i="8"/>
  <c r="H658" i="8"/>
  <c r="H656" i="8"/>
  <c r="H654" i="8"/>
  <c r="H651" i="8"/>
  <c r="H649" i="8"/>
  <c r="H648" i="8"/>
  <c r="H646" i="8"/>
  <c r="H644" i="8"/>
  <c r="H636" i="8"/>
  <c r="H631" i="8"/>
  <c r="H629" i="8"/>
  <c r="H626" i="8"/>
  <c r="H624" i="8"/>
  <c r="H623" i="8"/>
  <c r="H622" i="8"/>
  <c r="H617" i="8"/>
  <c r="H614" i="8"/>
  <c r="H612" i="8"/>
  <c r="H610" i="8"/>
  <c r="H609" i="8"/>
  <c r="H606" i="8"/>
  <c r="H604" i="8"/>
  <c r="H602" i="8"/>
  <c r="H600" i="8"/>
  <c r="H599" i="8"/>
  <c r="H598" i="8"/>
  <c r="H578" i="8"/>
  <c r="H567" i="8"/>
  <c r="H563" i="8"/>
  <c r="H561" i="8"/>
  <c r="H559" i="8"/>
  <c r="H558" i="8"/>
  <c r="H557" i="8"/>
  <c r="H555" i="8"/>
  <c r="H551" i="8"/>
  <c r="H550" i="8"/>
  <c r="H549" i="8"/>
  <c r="H548" i="8"/>
  <c r="H547" i="8"/>
  <c r="H546" i="8"/>
  <c r="H545" i="8"/>
  <c r="H544" i="8"/>
  <c r="H543" i="8"/>
  <c r="H542" i="8"/>
  <c r="H538" i="8"/>
  <c r="H536" i="8"/>
  <c r="H525" i="8"/>
  <c r="H523" i="8"/>
  <c r="H507" i="8"/>
  <c r="H497" i="8"/>
  <c r="H493" i="8"/>
  <c r="H491" i="8"/>
  <c r="H489" i="8"/>
  <c r="H487" i="8"/>
  <c r="H476" i="8"/>
  <c r="H475" i="8"/>
  <c r="H474" i="8"/>
  <c r="H458" i="8"/>
  <c r="H454" i="8"/>
  <c r="H453" i="8"/>
  <c r="H452" i="8"/>
  <c r="H451" i="8"/>
  <c r="H450" i="8"/>
  <c r="H449" i="8"/>
  <c r="H448" i="8"/>
  <c r="H447" i="8"/>
  <c r="H446" i="8"/>
  <c r="H445" i="8"/>
  <c r="H441" i="8"/>
  <c r="H439" i="8"/>
  <c r="H437" i="8"/>
  <c r="H428" i="8"/>
  <c r="H426" i="8"/>
  <c r="H425" i="8"/>
  <c r="H424" i="8"/>
  <c r="H421" i="8"/>
  <c r="H420" i="8"/>
  <c r="H411" i="8"/>
  <c r="H409" i="8"/>
  <c r="H407" i="8"/>
  <c r="H399" i="8"/>
  <c r="H396" i="8"/>
  <c r="H395" i="8"/>
  <c r="H394" i="8"/>
  <c r="H393" i="8"/>
  <c r="H392" i="8"/>
  <c r="H391" i="8"/>
  <c r="H375" i="8"/>
  <c r="H372" i="8"/>
  <c r="H369" i="8"/>
  <c r="H335" i="8"/>
  <c r="H329" i="8"/>
  <c r="H296" i="8"/>
  <c r="H294" i="8"/>
  <c r="H280" i="8" s="1"/>
  <c r="H291" i="8"/>
  <c r="H289" i="8"/>
  <c r="H284" i="8"/>
  <c r="H279" i="8" s="1"/>
  <c r="H276" i="8"/>
  <c r="H271" i="8"/>
  <c r="H270" i="8"/>
  <c r="H269" i="8"/>
  <c r="H268" i="8"/>
  <c r="H259" i="8"/>
  <c r="H256" i="8"/>
  <c r="H255" i="8"/>
  <c r="H253" i="8"/>
  <c r="H251" i="8"/>
  <c r="H229" i="8"/>
  <c r="H227" i="8"/>
  <c r="H224" i="8"/>
  <c r="H220" i="8"/>
  <c r="H218" i="8"/>
  <c r="H213" i="8"/>
  <c r="H212" i="8"/>
  <c r="H211" i="8"/>
  <c r="H210" i="8"/>
  <c r="H207" i="8"/>
  <c r="H206" i="8"/>
  <c r="H204" i="8"/>
  <c r="H203" i="8"/>
  <c r="H202" i="8"/>
  <c r="H200" i="8"/>
  <c r="H168" i="8"/>
  <c r="J168" i="8" s="1"/>
  <c r="H166" i="8"/>
  <c r="H165" i="8"/>
  <c r="H164" i="8"/>
  <c r="H163" i="8"/>
  <c r="H162" i="8"/>
  <c r="H161" i="8"/>
  <c r="H160" i="8"/>
  <c r="H159" i="8"/>
  <c r="H158" i="8"/>
  <c r="H155" i="8"/>
  <c r="H154" i="8"/>
  <c r="H153" i="8"/>
  <c r="H152" i="8"/>
  <c r="H151" i="8"/>
  <c r="H150" i="8"/>
  <c r="H149" i="8"/>
  <c r="H148" i="8"/>
  <c r="H147" i="8"/>
  <c r="H145" i="8"/>
  <c r="H144" i="8"/>
  <c r="H143" i="8"/>
  <c r="H142" i="8"/>
  <c r="H140" i="8"/>
  <c r="H134" i="8"/>
  <c r="H132" i="8"/>
  <c r="H131" i="8"/>
  <c r="H130" i="8"/>
  <c r="H104" i="8"/>
  <c r="H103" i="8"/>
  <c r="H102" i="8"/>
  <c r="H101" i="8"/>
  <c r="H100" i="8"/>
  <c r="H99" i="8"/>
  <c r="H98" i="8"/>
  <c r="H92" i="8"/>
  <c r="H91" i="8"/>
  <c r="J91" i="8" s="1"/>
  <c r="H90" i="8"/>
  <c r="J90" i="8" s="1"/>
  <c r="H89" i="8"/>
  <c r="J89" i="8" s="1"/>
  <c r="H88" i="8"/>
  <c r="J88" i="8" s="1"/>
  <c r="H87" i="8"/>
  <c r="J87" i="8" s="1"/>
  <c r="H86" i="8"/>
  <c r="J86" i="8" s="1"/>
  <c r="H85" i="8"/>
  <c r="J85" i="8" s="1"/>
  <c r="H84" i="8"/>
  <c r="J84" i="8" s="1"/>
  <c r="H83" i="8"/>
  <c r="H82" i="8"/>
  <c r="H81" i="8"/>
  <c r="H80" i="8"/>
  <c r="H79" i="8"/>
  <c r="H78" i="8"/>
  <c r="H75" i="8"/>
  <c r="H74" i="8"/>
  <c r="H73" i="8"/>
  <c r="H71" i="8"/>
  <c r="H70" i="8"/>
  <c r="H67" i="8"/>
  <c r="H66" i="8"/>
  <c r="H65" i="8"/>
  <c r="H64" i="8"/>
  <c r="H63" i="8"/>
  <c r="H62" i="8"/>
  <c r="H61" i="8"/>
  <c r="H60" i="8"/>
  <c r="H59" i="8"/>
  <c r="H58" i="8"/>
  <c r="H68" i="8"/>
  <c r="H57" i="8"/>
  <c r="H52" i="8"/>
  <c r="H55" i="8"/>
  <c r="H48" i="8"/>
  <c r="H54" i="8"/>
  <c r="H51" i="8"/>
  <c r="H49" i="8"/>
  <c r="H50" i="8"/>
  <c r="H53" i="8"/>
  <c r="H42" i="8"/>
  <c r="H44" i="8"/>
  <c r="H41" i="8"/>
  <c r="H40" i="8"/>
  <c r="H39" i="8"/>
  <c r="H38" i="8"/>
  <c r="H37" i="8"/>
  <c r="H35" i="8"/>
  <c r="H33" i="8"/>
  <c r="H32" i="8"/>
  <c r="H34" i="8"/>
  <c r="H30" i="8"/>
  <c r="H31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9" i="8"/>
  <c r="H7" i="8"/>
  <c r="H6" i="8"/>
  <c r="F1725" i="8"/>
  <c r="F1702" i="8"/>
  <c r="F1700" i="8"/>
  <c r="F1698" i="8"/>
  <c r="F1696" i="8"/>
  <c r="F1655" i="8"/>
  <c r="F1632" i="8"/>
  <c r="F1595" i="8"/>
  <c r="F1527" i="8"/>
  <c r="F1525" i="8" s="1"/>
  <c r="F1523" i="8"/>
  <c r="F1436" i="8"/>
  <c r="F1406" i="8"/>
  <c r="F1377" i="8"/>
  <c r="F1375" i="8"/>
  <c r="F1344" i="8"/>
  <c r="F1336" i="8"/>
  <c r="F1300" i="8"/>
  <c r="F1264" i="8"/>
  <c r="F1262" i="8"/>
  <c r="F1227" i="8"/>
  <c r="F1013" i="8"/>
  <c r="F488" i="8"/>
  <c r="F378" i="8"/>
  <c r="F216" i="8"/>
  <c r="F215" i="8" s="1"/>
  <c r="F209" i="8"/>
  <c r="F196" i="8"/>
  <c r="F1783" i="8"/>
  <c r="F1662" i="8"/>
  <c r="F1140" i="8"/>
  <c r="F1139" i="8" s="1"/>
  <c r="J1730" i="8" l="1"/>
  <c r="M1751" i="8"/>
  <c r="M1787" i="8"/>
  <c r="M1752" i="8"/>
  <c r="M1861" i="8"/>
  <c r="M1754" i="8"/>
  <c r="M1753" i="8"/>
  <c r="M1756" i="8"/>
  <c r="M1757" i="8"/>
  <c r="M1758" i="8"/>
  <c r="M1750" i="8"/>
  <c r="M1759" i="8"/>
  <c r="M1774" i="8"/>
  <c r="M1746" i="8"/>
  <c r="M1775" i="8"/>
  <c r="M1786" i="8"/>
  <c r="M1747" i="8"/>
  <c r="M214" i="8"/>
  <c r="M1574" i="8"/>
  <c r="M1728" i="8"/>
  <c r="M1619" i="8"/>
  <c r="M1691" i="8"/>
  <c r="M1369" i="8"/>
  <c r="M1649" i="8"/>
  <c r="M1581" i="8"/>
  <c r="M1560" i="8"/>
  <c r="M1566" i="8"/>
  <c r="M1590" i="8"/>
  <c r="M1648" i="8"/>
  <c r="M1557" i="8"/>
  <c r="M1177" i="8"/>
  <c r="M1558" i="8"/>
  <c r="M192" i="8"/>
  <c r="M1563" i="8"/>
  <c r="M1573" i="8"/>
  <c r="M1721" i="8"/>
  <c r="M1720" i="8"/>
  <c r="M1579" i="8"/>
  <c r="M1562" i="8"/>
  <c r="M1719" i="8"/>
  <c r="M1583" i="8"/>
  <c r="M1571" i="8"/>
  <c r="M1564" i="8"/>
  <c r="M1621" i="8"/>
  <c r="M1181" i="8"/>
  <c r="M1729" i="8"/>
  <c r="M1697" i="8"/>
  <c r="M1577" i="8"/>
  <c r="M1682" i="8"/>
  <c r="M1731" i="8"/>
  <c r="M1630" i="8"/>
  <c r="M1615" i="8"/>
  <c r="M1718" i="8"/>
  <c r="M798" i="8"/>
  <c r="M1703" i="8"/>
  <c r="M1732" i="8"/>
  <c r="M1618" i="8"/>
  <c r="M1681" i="8"/>
  <c r="M1724" i="8"/>
  <c r="M1179" i="8"/>
  <c r="M1726" i="8"/>
  <c r="M1616" i="8"/>
  <c r="M1625" i="8"/>
  <c r="M1180" i="8"/>
  <c r="M1692" i="8"/>
  <c r="M1686" i="8"/>
  <c r="M1561" i="8"/>
  <c r="M1676" i="8"/>
  <c r="M1688" i="8"/>
  <c r="M1617" i="8"/>
  <c r="M1631" i="8"/>
  <c r="M1559" i="8"/>
  <c r="M1716" i="8"/>
  <c r="M1680" i="8"/>
  <c r="M1660" i="8"/>
  <c r="M1677" i="8"/>
  <c r="M1622" i="8"/>
  <c r="M1626" i="8"/>
  <c r="M1182" i="8"/>
  <c r="M1580" i="8"/>
  <c r="M1614" i="8"/>
  <c r="M191" i="8"/>
  <c r="M1591" i="8"/>
  <c r="M1672" i="8"/>
  <c r="M1717" i="8"/>
  <c r="M1651" i="8"/>
  <c r="M1673" i="8"/>
  <c r="M1694" i="8"/>
  <c r="M1627" i="8"/>
  <c r="M1620" i="8"/>
  <c r="M1178" i="8"/>
  <c r="M1734" i="8"/>
  <c r="M1715" i="8"/>
  <c r="M1183" i="8"/>
  <c r="M1569" i="8"/>
  <c r="M1582" i="8"/>
  <c r="M1679" i="8"/>
  <c r="M1572" i="8"/>
  <c r="M1578" i="8"/>
  <c r="M1650" i="8"/>
  <c r="M91" i="8"/>
  <c r="M84" i="8"/>
  <c r="M90" i="8"/>
  <c r="M85" i="8"/>
  <c r="M86" i="8"/>
  <c r="M87" i="8"/>
  <c r="M88" i="8"/>
  <c r="M89" i="8"/>
  <c r="J1588" i="8"/>
  <c r="J1702" i="8"/>
  <c r="J1725" i="8"/>
  <c r="J1696" i="8"/>
  <c r="J1659" i="8"/>
  <c r="K517" i="8"/>
  <c r="M517" i="8"/>
  <c r="G283" i="8"/>
  <c r="G277" i="8" s="1"/>
  <c r="G281" i="8"/>
  <c r="G278" i="8" s="1"/>
  <c r="H47" i="8"/>
  <c r="H56" i="8"/>
  <c r="H36" i="8"/>
  <c r="J32" i="8"/>
  <c r="J1867" i="8"/>
  <c r="H1017" i="8"/>
  <c r="J1687" i="8"/>
  <c r="J17" i="8"/>
  <c r="J57" i="8"/>
  <c r="J70" i="8"/>
  <c r="J102" i="8"/>
  <c r="J71" i="8"/>
  <c r="J67" i="8"/>
  <c r="J19" i="8"/>
  <c r="J58" i="8"/>
  <c r="J73" i="8"/>
  <c r="J104" i="8"/>
  <c r="J101" i="8"/>
  <c r="J18" i="8"/>
  <c r="J6" i="8"/>
  <c r="J20" i="8"/>
  <c r="J59" i="8"/>
  <c r="J74" i="8"/>
  <c r="J7" i="8"/>
  <c r="J21" i="8"/>
  <c r="J60" i="8"/>
  <c r="J75" i="8"/>
  <c r="J9" i="8"/>
  <c r="J22" i="8"/>
  <c r="J61" i="8"/>
  <c r="J78" i="8"/>
  <c r="J11" i="8"/>
  <c r="J23" i="8"/>
  <c r="J62" i="8"/>
  <c r="J79" i="8"/>
  <c r="J12" i="8"/>
  <c r="J63" i="8"/>
  <c r="J80" i="8"/>
  <c r="J92" i="8"/>
  <c r="J13" i="8"/>
  <c r="J64" i="8"/>
  <c r="J81" i="8"/>
  <c r="J98" i="8"/>
  <c r="J16" i="8"/>
  <c r="J68" i="8"/>
  <c r="J103" i="8"/>
  <c r="J14" i="8"/>
  <c r="J48" i="8"/>
  <c r="J65" i="8"/>
  <c r="J82" i="8"/>
  <c r="J99" i="8"/>
  <c r="J52" i="8"/>
  <c r="J15" i="8"/>
  <c r="J55" i="8"/>
  <c r="J66" i="8"/>
  <c r="J83" i="8"/>
  <c r="J100" i="8"/>
  <c r="J1647" i="8"/>
  <c r="J437" i="8"/>
  <c r="J551" i="8"/>
  <c r="J669" i="8"/>
  <c r="J757" i="8"/>
  <c r="J832" i="8"/>
  <c r="J869" i="8"/>
  <c r="J936" i="8"/>
  <c r="J1016" i="8"/>
  <c r="J1094" i="8"/>
  <c r="J1144" i="8"/>
  <c r="J1206" i="8"/>
  <c r="J1267" i="8"/>
  <c r="J1323" i="8"/>
  <c r="J1358" i="8"/>
  <c r="J1418" i="8"/>
  <c r="J1474" i="8"/>
  <c r="J1568" i="8"/>
  <c r="J530" i="8"/>
  <c r="J725" i="8"/>
  <c r="J827" i="8"/>
  <c r="J1516" i="8"/>
  <c r="J458" i="8"/>
  <c r="J604" i="8"/>
  <c r="J704" i="8"/>
  <c r="J788" i="8"/>
  <c r="J851" i="8"/>
  <c r="J916" i="8"/>
  <c r="J1018" i="8"/>
  <c r="J1108" i="8"/>
  <c r="J1232" i="8"/>
  <c r="J1283" i="8"/>
  <c r="J1343" i="8"/>
  <c r="J1402" i="8"/>
  <c r="J1434" i="8"/>
  <c r="J1584" i="8"/>
  <c r="J472" i="8"/>
  <c r="J576" i="8"/>
  <c r="J826" i="8"/>
  <c r="J446" i="8"/>
  <c r="J610" i="8"/>
  <c r="J675" i="8"/>
  <c r="J768" i="8"/>
  <c r="J839" i="8"/>
  <c r="J905" i="8"/>
  <c r="J1038" i="8"/>
  <c r="J1097" i="8"/>
  <c r="J1253" i="8"/>
  <c r="J1313" i="8"/>
  <c r="J1349" i="8"/>
  <c r="J1423" i="8"/>
  <c r="J1598" i="8"/>
  <c r="J1049" i="8"/>
  <c r="J447" i="8"/>
  <c r="J544" i="8"/>
  <c r="J676" i="8"/>
  <c r="J769" i="8"/>
  <c r="J810" i="8"/>
  <c r="J857" i="8"/>
  <c r="J926" i="8"/>
  <c r="J982" i="8"/>
  <c r="J1070" i="8"/>
  <c r="J1167" i="8"/>
  <c r="J1211" i="8"/>
  <c r="J1254" i="8"/>
  <c r="J1294" i="8"/>
  <c r="J1331" i="8"/>
  <c r="J1363" i="8"/>
  <c r="J1407" i="8"/>
  <c r="J1452" i="8"/>
  <c r="J1526" i="8"/>
  <c r="J509" i="8"/>
  <c r="J822" i="8"/>
  <c r="J459" i="8"/>
  <c r="J1078" i="8"/>
  <c r="J1155" i="8"/>
  <c r="J678" i="8"/>
  <c r="J1075" i="8"/>
  <c r="J1153" i="8"/>
  <c r="J449" i="8"/>
  <c r="J567" i="8"/>
  <c r="J720" i="8"/>
  <c r="J796" i="8"/>
  <c r="J860" i="8"/>
  <c r="J930" i="8"/>
  <c r="J963" i="8"/>
  <c r="J1087" i="8"/>
  <c r="J1132" i="8"/>
  <c r="J1201" i="8"/>
  <c r="J1259" i="8"/>
  <c r="J1334" i="8"/>
  <c r="J1365" i="8"/>
  <c r="J1463" i="8"/>
  <c r="J1612" i="8"/>
  <c r="J1670" i="8"/>
  <c r="J569" i="8"/>
  <c r="J708" i="8"/>
  <c r="J780" i="8"/>
  <c r="J417" i="8"/>
  <c r="J1046" i="8"/>
  <c r="J1152" i="8"/>
  <c r="J450" i="8"/>
  <c r="J547" i="8"/>
  <c r="J687" i="8"/>
  <c r="J890" i="8"/>
  <c r="J947" i="8"/>
  <c r="J1043" i="8"/>
  <c r="J1120" i="8"/>
  <c r="J1172" i="8"/>
  <c r="J1224" i="8"/>
  <c r="J1277" i="8"/>
  <c r="J1335" i="8"/>
  <c r="J1414" i="8"/>
  <c r="J1488" i="8"/>
  <c r="J1671" i="8"/>
  <c r="J568" i="8"/>
  <c r="J665" i="8"/>
  <c r="J739" i="8"/>
  <c r="J990" i="8"/>
  <c r="J416" i="8"/>
  <c r="J1045" i="8"/>
  <c r="J1165" i="8"/>
  <c r="J1522" i="8"/>
  <c r="J425" i="8"/>
  <c r="J451" i="8"/>
  <c r="J497" i="8"/>
  <c r="J548" i="8"/>
  <c r="J598" i="8"/>
  <c r="J623" i="8"/>
  <c r="J656" i="8"/>
  <c r="J688" i="8"/>
  <c r="J723" i="8"/>
  <c r="J752" i="8"/>
  <c r="J775" i="8"/>
  <c r="J800" i="8"/>
  <c r="J817" i="8"/>
  <c r="J845" i="8"/>
  <c r="J864" i="8"/>
  <c r="J893" i="8"/>
  <c r="J910" i="8"/>
  <c r="J932" i="8"/>
  <c r="J948" i="8"/>
  <c r="J972" i="8"/>
  <c r="J1002" i="8"/>
  <c r="J1050" i="8"/>
  <c r="J1090" i="8"/>
  <c r="J1104" i="8"/>
  <c r="J1121" i="8"/>
  <c r="J1134" i="8"/>
  <c r="J1173" i="8"/>
  <c r="J1187" i="8"/>
  <c r="J1203" i="8"/>
  <c r="J1225" i="8"/>
  <c r="J1241" i="8"/>
  <c r="J1261" i="8"/>
  <c r="J1278" i="8"/>
  <c r="J1301" i="8"/>
  <c r="J1320" i="8"/>
  <c r="J1337" i="8"/>
  <c r="J1355" i="8"/>
  <c r="J1368" i="8"/>
  <c r="J1397" i="8"/>
  <c r="J1415" i="8"/>
  <c r="J1429" i="8"/>
  <c r="J1470" i="8"/>
  <c r="J1491" i="8"/>
  <c r="J1538" i="8"/>
  <c r="J1634" i="8"/>
  <c r="J1675" i="8"/>
  <c r="J499" i="8"/>
  <c r="J516" i="8"/>
  <c r="J554" i="8"/>
  <c r="J664" i="8"/>
  <c r="J706" i="8"/>
  <c r="J738" i="8"/>
  <c r="J829" i="8"/>
  <c r="J415" i="8"/>
  <c r="J1044" i="8"/>
  <c r="J1071" i="8"/>
  <c r="J1164" i="8"/>
  <c r="J1150" i="8"/>
  <c r="J1484" i="8"/>
  <c r="J1537" i="8"/>
  <c r="J525" i="8"/>
  <c r="J629" i="8"/>
  <c r="J730" i="8"/>
  <c r="J803" i="8"/>
  <c r="J899" i="8"/>
  <c r="J952" i="8"/>
  <c r="J1062" i="8"/>
  <c r="J1124" i="8"/>
  <c r="J1230" i="8"/>
  <c r="J1307" i="8"/>
  <c r="J1371" i="8"/>
  <c r="J1433" i="8"/>
  <c r="J1663" i="8"/>
  <c r="J582" i="8"/>
  <c r="J1054" i="8"/>
  <c r="J1084" i="8"/>
  <c r="J1161" i="8"/>
  <c r="J1251" i="8"/>
  <c r="J1495" i="8"/>
  <c r="J536" i="8"/>
  <c r="J631" i="8"/>
  <c r="J736" i="8"/>
  <c r="J804" i="8"/>
  <c r="J870" i="8"/>
  <c r="J938" i="8"/>
  <c r="J978" i="8"/>
  <c r="J1095" i="8"/>
  <c r="J1125" i="8"/>
  <c r="J1192" i="8"/>
  <c r="J1248" i="8"/>
  <c r="J1310" i="8"/>
  <c r="J1359" i="8"/>
  <c r="J1419" i="8"/>
  <c r="J1475" i="8"/>
  <c r="J1664" i="8"/>
  <c r="J1699" i="8"/>
  <c r="J513" i="8"/>
  <c r="J1005" i="8"/>
  <c r="J1053" i="8"/>
  <c r="J1083" i="8"/>
  <c r="J1515" i="8"/>
  <c r="J474" i="8"/>
  <c r="J557" i="8"/>
  <c r="J606" i="8"/>
  <c r="J673" i="8"/>
  <c r="J742" i="8"/>
  <c r="J789" i="8"/>
  <c r="J805" i="8"/>
  <c r="J853" i="8"/>
  <c r="J873" i="8"/>
  <c r="J919" i="8"/>
  <c r="J939" i="8"/>
  <c r="J979" i="8"/>
  <c r="J1096" i="8"/>
  <c r="J1126" i="8"/>
  <c r="J1208" i="8"/>
  <c r="J1270" i="8"/>
  <c r="J1311" i="8"/>
  <c r="J1345" i="8"/>
  <c r="J1376" i="8"/>
  <c r="J1420" i="8"/>
  <c r="J1511" i="8"/>
  <c r="J1665" i="8"/>
  <c r="J528" i="8"/>
  <c r="J825" i="8"/>
  <c r="J961" i="8"/>
  <c r="J1004" i="8"/>
  <c r="J1020" i="8"/>
  <c r="J1052" i="8"/>
  <c r="J1082" i="8"/>
  <c r="J1157" i="8"/>
  <c r="J1218" i="8"/>
  <c r="J407" i="8"/>
  <c r="J445" i="8"/>
  <c r="J475" i="8"/>
  <c r="J542" i="8"/>
  <c r="J558" i="8"/>
  <c r="J609" i="8"/>
  <c r="J644" i="8"/>
  <c r="J674" i="8"/>
  <c r="J715" i="8"/>
  <c r="J743" i="8"/>
  <c r="J764" i="8"/>
  <c r="J790" i="8"/>
  <c r="J807" i="8"/>
  <c r="J838" i="8"/>
  <c r="J855" i="8"/>
  <c r="J876" i="8"/>
  <c r="J904" i="8"/>
  <c r="J921" i="8"/>
  <c r="J940" i="8"/>
  <c r="J955" i="8"/>
  <c r="J980" i="8"/>
  <c r="J1037" i="8"/>
  <c r="J1068" i="8"/>
  <c r="J1098" i="8"/>
  <c r="J1110" i="8"/>
  <c r="J1127" i="8"/>
  <c r="J1160" i="8"/>
  <c r="J1195" i="8"/>
  <c r="J1209" i="8"/>
  <c r="J1234" i="8"/>
  <c r="J1252" i="8"/>
  <c r="J1271" i="8"/>
  <c r="J1285" i="8"/>
  <c r="J1312" i="8"/>
  <c r="J1328" i="8"/>
  <c r="J1361" i="8"/>
  <c r="J1421" i="8"/>
  <c r="J1477" i="8"/>
  <c r="J1596" i="8"/>
  <c r="J1666" i="8"/>
  <c r="J485" i="8"/>
  <c r="J511" i="8"/>
  <c r="J573" i="8"/>
  <c r="J637" i="8"/>
  <c r="J700" i="8"/>
  <c r="J784" i="8"/>
  <c r="J824" i="8"/>
  <c r="J1051" i="8"/>
  <c r="J1081" i="8"/>
  <c r="J1156" i="8"/>
  <c r="J1513" i="8"/>
  <c r="J476" i="8"/>
  <c r="J559" i="8"/>
  <c r="J646" i="8"/>
  <c r="J744" i="8"/>
  <c r="J791" i="8"/>
  <c r="J856" i="8"/>
  <c r="J925" i="8"/>
  <c r="J956" i="8"/>
  <c r="J1069" i="8"/>
  <c r="J1129" i="8"/>
  <c r="J1197" i="8"/>
  <c r="J1236" i="8"/>
  <c r="J1273" i="8"/>
  <c r="J1329" i="8"/>
  <c r="J1389" i="8"/>
  <c r="J1439" i="8"/>
  <c r="J1524" i="8"/>
  <c r="J1667" i="8"/>
  <c r="J1714" i="8"/>
  <c r="J484" i="8"/>
  <c r="J572" i="8"/>
  <c r="J1512" i="8"/>
  <c r="J411" i="8"/>
  <c r="J487" i="8"/>
  <c r="J612" i="8"/>
  <c r="J648" i="8"/>
  <c r="J717" i="8"/>
  <c r="J745" i="8"/>
  <c r="J792" i="8"/>
  <c r="J841" i="8"/>
  <c r="J882" i="8"/>
  <c r="J906" i="8"/>
  <c r="J942" i="8"/>
  <c r="J957" i="8"/>
  <c r="J1040" i="8"/>
  <c r="J1099" i="8"/>
  <c r="J1130" i="8"/>
  <c r="J1198" i="8"/>
  <c r="J1237" i="8"/>
  <c r="J1274" i="8"/>
  <c r="J1314" i="8"/>
  <c r="J1350" i="8"/>
  <c r="J1391" i="8"/>
  <c r="J1424" i="8"/>
  <c r="J1479" i="8"/>
  <c r="J1609" i="8"/>
  <c r="J1668" i="8"/>
  <c r="J503" i="8"/>
  <c r="J571" i="8"/>
  <c r="J703" i="8"/>
  <c r="J782" i="8"/>
  <c r="J422" i="8"/>
  <c r="J1048" i="8"/>
  <c r="J1215" i="8"/>
  <c r="J887" i="8"/>
  <c r="J907" i="8"/>
  <c r="J943" i="8"/>
  <c r="J986" i="8"/>
  <c r="J1077" i="8"/>
  <c r="J1117" i="8"/>
  <c r="J1168" i="8"/>
  <c r="J1199" i="8"/>
  <c r="J1220" i="8"/>
  <c r="J1257" i="8"/>
  <c r="J1296" i="8"/>
  <c r="J1333" i="8"/>
  <c r="J1364" i="8"/>
  <c r="J1392" i="8"/>
  <c r="J1426" i="8"/>
  <c r="J1480" i="8"/>
  <c r="J1611" i="8"/>
  <c r="J482" i="8"/>
  <c r="J502" i="8"/>
  <c r="J508" i="8"/>
  <c r="J570" i="8"/>
  <c r="J620" i="8"/>
  <c r="J709" i="8"/>
  <c r="J781" i="8"/>
  <c r="J821" i="8"/>
  <c r="J992" i="8"/>
  <c r="J1011" i="8"/>
  <c r="J1047" i="8"/>
  <c r="J1214" i="8"/>
  <c r="J491" i="8"/>
  <c r="J617" i="8"/>
  <c r="J684" i="8"/>
  <c r="J773" i="8"/>
  <c r="J814" i="8"/>
  <c r="J889" i="8"/>
  <c r="J945" i="8"/>
  <c r="J1042" i="8"/>
  <c r="J1119" i="8"/>
  <c r="J1185" i="8"/>
  <c r="J1239" i="8"/>
  <c r="J1276" i="8"/>
  <c r="J1316" i="8"/>
  <c r="J1353" i="8"/>
  <c r="J1395" i="8"/>
  <c r="J1427" i="8"/>
  <c r="J1481" i="8"/>
  <c r="J1529" i="8"/>
  <c r="J501" i="8"/>
  <c r="J618" i="8"/>
  <c r="J667" i="8"/>
  <c r="J740" i="8"/>
  <c r="J831" i="8"/>
  <c r="J424" i="8"/>
  <c r="J578" i="8"/>
  <c r="J654" i="8"/>
  <c r="J722" i="8"/>
  <c r="J774" i="8"/>
  <c r="J816" i="8"/>
  <c r="J861" i="8"/>
  <c r="J931" i="8"/>
  <c r="J970" i="8"/>
  <c r="J1089" i="8"/>
  <c r="J1133" i="8"/>
  <c r="J1202" i="8"/>
  <c r="J1260" i="8"/>
  <c r="J1317" i="8"/>
  <c r="J1354" i="8"/>
  <c r="J1396" i="8"/>
  <c r="J1428" i="8"/>
  <c r="J1533" i="8"/>
  <c r="J480" i="8"/>
  <c r="J500" i="8"/>
  <c r="J779" i="8"/>
  <c r="J1212" i="8"/>
  <c r="J426" i="8"/>
  <c r="J452" i="8"/>
  <c r="J507" i="8"/>
  <c r="J549" i="8"/>
  <c r="J599" i="8"/>
  <c r="J624" i="8"/>
  <c r="J658" i="8"/>
  <c r="J691" i="8"/>
  <c r="K691" i="8" s="1"/>
  <c r="J727" i="8"/>
  <c r="J755" i="8"/>
  <c r="J777" i="8"/>
  <c r="J801" i="8"/>
  <c r="J818" i="8"/>
  <c r="J846" i="8"/>
  <c r="J865" i="8"/>
  <c r="J894" i="8"/>
  <c r="J911" i="8"/>
  <c r="J933" i="8"/>
  <c r="J950" i="8"/>
  <c r="J973" i="8"/>
  <c r="J1008" i="8"/>
  <c r="J1057" i="8"/>
  <c r="J1092" i="8"/>
  <c r="J1105" i="8"/>
  <c r="J1122" i="8"/>
  <c r="J1135" i="8"/>
  <c r="J1175" i="8"/>
  <c r="J1189" i="8"/>
  <c r="J1204" i="8"/>
  <c r="J1226" i="8"/>
  <c r="J1242" i="8"/>
  <c r="J1263" i="8"/>
  <c r="J1279" i="8"/>
  <c r="J1303" i="8"/>
  <c r="J1321" i="8"/>
  <c r="J1339" i="8"/>
  <c r="J1356" i="8"/>
  <c r="J1399" i="8"/>
  <c r="J1416" i="8"/>
  <c r="J1431" i="8"/>
  <c r="J1471" i="8"/>
  <c r="J1497" i="8"/>
  <c r="J1539" i="8"/>
  <c r="I1636" i="8"/>
  <c r="J1684" i="8"/>
  <c r="J498" i="8"/>
  <c r="J584" i="8"/>
  <c r="J642" i="8"/>
  <c r="J663" i="8"/>
  <c r="J737" i="8"/>
  <c r="J828" i="8"/>
  <c r="J988" i="8"/>
  <c r="J1024" i="8"/>
  <c r="J414" i="8"/>
  <c r="J1056" i="8"/>
  <c r="J1065" i="8"/>
  <c r="J1483" i="8"/>
  <c r="J1518" i="8"/>
  <c r="J1536" i="8"/>
  <c r="J454" i="8"/>
  <c r="J602" i="8"/>
  <c r="J697" i="8"/>
  <c r="J787" i="8"/>
  <c r="J849" i="8"/>
  <c r="J915" i="8"/>
  <c r="J977" i="8"/>
  <c r="J1107" i="8"/>
  <c r="J1191" i="8"/>
  <c r="J1247" i="8"/>
  <c r="J1281" i="8"/>
  <c r="J1342" i="8"/>
  <c r="J1401" i="8"/>
  <c r="J1507" i="8"/>
  <c r="J965" i="8"/>
  <c r="J412" i="8"/>
  <c r="J439" i="8"/>
  <c r="J555" i="8"/>
  <c r="J671" i="8"/>
  <c r="J762" i="8"/>
  <c r="J833" i="8"/>
  <c r="J901" i="8"/>
  <c r="J953" i="8"/>
  <c r="J1064" i="8"/>
  <c r="J1147" i="8"/>
  <c r="J1207" i="8"/>
  <c r="J1269" i="8"/>
  <c r="J1325" i="8"/>
  <c r="J1373" i="8"/>
  <c r="J1509" i="8"/>
  <c r="J529" i="8"/>
  <c r="J639" i="8"/>
  <c r="J1021" i="8"/>
  <c r="J1158" i="8"/>
  <c r="J1493" i="8"/>
  <c r="J441" i="8"/>
  <c r="J538" i="8"/>
  <c r="J636" i="8"/>
  <c r="J713" i="8"/>
  <c r="J763" i="8"/>
  <c r="J835" i="8"/>
  <c r="J902" i="8"/>
  <c r="J954" i="8"/>
  <c r="J1035" i="8"/>
  <c r="J1067" i="8"/>
  <c r="J1109" i="8"/>
  <c r="J1149" i="8"/>
  <c r="J1193" i="8"/>
  <c r="J1233" i="8"/>
  <c r="J1249" i="8"/>
  <c r="J1284" i="8"/>
  <c r="J1327" i="8"/>
  <c r="J1360" i="8"/>
  <c r="J1403" i="8"/>
  <c r="J1435" i="8"/>
  <c r="J1476" i="8"/>
  <c r="J1585" i="8"/>
  <c r="J1701" i="8"/>
  <c r="J512" i="8"/>
  <c r="J574" i="8"/>
  <c r="J638" i="8"/>
  <c r="J732" i="8"/>
  <c r="J1492" i="8"/>
  <c r="J1347" i="8"/>
  <c r="J1388" i="8"/>
  <c r="J1404" i="8"/>
  <c r="J1437" i="8"/>
  <c r="J1520" i="8"/>
  <c r="J1712" i="8"/>
  <c r="J505" i="8"/>
  <c r="J527" i="8"/>
  <c r="J579" i="8"/>
  <c r="J734" i="8"/>
  <c r="J1003" i="8"/>
  <c r="J462" i="8"/>
  <c r="J1136" i="8"/>
  <c r="J1217" i="8"/>
  <c r="J1457" i="8"/>
  <c r="J409" i="8"/>
  <c r="J543" i="8"/>
  <c r="J716" i="8"/>
  <c r="J808" i="8"/>
  <c r="J881" i="8"/>
  <c r="J941" i="8"/>
  <c r="J981" i="8"/>
  <c r="J1114" i="8"/>
  <c r="J1166" i="8"/>
  <c r="J1210" i="8"/>
  <c r="J1286" i="8"/>
  <c r="J1362" i="8"/>
  <c r="J1405" i="8"/>
  <c r="J1478" i="8"/>
  <c r="J504" i="8"/>
  <c r="J783" i="8"/>
  <c r="J823" i="8"/>
  <c r="J918" i="8"/>
  <c r="J1079" i="8"/>
  <c r="J1154" i="8"/>
  <c r="J1460" i="8"/>
  <c r="J561" i="8"/>
  <c r="J1116" i="8"/>
  <c r="J420" i="8"/>
  <c r="J448" i="8"/>
  <c r="J489" i="8"/>
  <c r="J545" i="8"/>
  <c r="J563" i="8"/>
  <c r="J614" i="8"/>
  <c r="J649" i="8"/>
  <c r="J719" i="8"/>
  <c r="J746" i="8"/>
  <c r="J771" i="8"/>
  <c r="J794" i="8"/>
  <c r="J812" i="8"/>
  <c r="J842" i="8"/>
  <c r="J858" i="8"/>
  <c r="J929" i="8"/>
  <c r="J958" i="8"/>
  <c r="J1041" i="8"/>
  <c r="J1100" i="8"/>
  <c r="J1131" i="8"/>
  <c r="J1238" i="8"/>
  <c r="J1275" i="8"/>
  <c r="J1315" i="8"/>
  <c r="J1351" i="8"/>
  <c r="J1408" i="8"/>
  <c r="J1462" i="8"/>
  <c r="J1528" i="8"/>
  <c r="J1669" i="8"/>
  <c r="J741" i="8"/>
  <c r="J418" i="8"/>
  <c r="J1290" i="8"/>
  <c r="J1502" i="8"/>
  <c r="J1678" i="8"/>
  <c r="J421" i="8"/>
  <c r="J546" i="8"/>
  <c r="J651" i="8"/>
  <c r="J748" i="8"/>
  <c r="J843" i="8"/>
  <c r="J908" i="8"/>
  <c r="J996" i="8"/>
  <c r="J1101" i="8"/>
  <c r="J1170" i="8"/>
  <c r="J1222" i="8"/>
  <c r="J1297" i="8"/>
  <c r="J1413" i="8"/>
  <c r="J481" i="8"/>
  <c r="J1213" i="8"/>
  <c r="J1289" i="8"/>
  <c r="J1501" i="8"/>
  <c r="H390" i="8"/>
  <c r="J493" i="8"/>
  <c r="J622" i="8"/>
  <c r="J750" i="8"/>
  <c r="J844" i="8"/>
  <c r="J909" i="8"/>
  <c r="J999" i="8"/>
  <c r="J1103" i="8"/>
  <c r="J1186" i="8"/>
  <c r="J1240" i="8"/>
  <c r="J1298" i="8"/>
  <c r="J1366" i="8"/>
  <c r="J1468" i="8"/>
  <c r="J1624" i="8"/>
  <c r="J707" i="8"/>
  <c r="J1151" i="8"/>
  <c r="J1288" i="8"/>
  <c r="J428" i="8"/>
  <c r="J453" i="8"/>
  <c r="J523" i="8"/>
  <c r="J550" i="8"/>
  <c r="J600" i="8"/>
  <c r="J626" i="8"/>
  <c r="J661" i="8"/>
  <c r="J696" i="8"/>
  <c r="J728" i="8"/>
  <c r="J756" i="8"/>
  <c r="J786" i="8"/>
  <c r="J802" i="8"/>
  <c r="J820" i="8"/>
  <c r="J847" i="8"/>
  <c r="J867" i="8"/>
  <c r="J896" i="8"/>
  <c r="J914" i="8"/>
  <c r="J934" i="8"/>
  <c r="J951" i="8"/>
  <c r="J976" i="8"/>
  <c r="J1014" i="8"/>
  <c r="J1059" i="8"/>
  <c r="J1093" i="8"/>
  <c r="J1106" i="8"/>
  <c r="J1123" i="8"/>
  <c r="J1138" i="8"/>
  <c r="J1176" i="8"/>
  <c r="J1190" i="8"/>
  <c r="J1205" i="8"/>
  <c r="J1228" i="8"/>
  <c r="J1243" i="8"/>
  <c r="J1265" i="8"/>
  <c r="J1280" i="8"/>
  <c r="J1305" i="8"/>
  <c r="J1322" i="8"/>
  <c r="J1341" i="8"/>
  <c r="J1357" i="8"/>
  <c r="J1370" i="8"/>
  <c r="J1400" i="8"/>
  <c r="J1417" i="8"/>
  <c r="J1432" i="8"/>
  <c r="J1473" i="8"/>
  <c r="J1499" i="8"/>
  <c r="I1637" i="8"/>
  <c r="J1637" i="8" s="1"/>
  <c r="J1695" i="8"/>
  <c r="J583" i="8"/>
  <c r="J726" i="8"/>
  <c r="J966" i="8"/>
  <c r="J987" i="8"/>
  <c r="J1023" i="8"/>
  <c r="J413" i="8"/>
  <c r="J1055" i="8"/>
  <c r="J1085" i="8"/>
  <c r="J1517" i="8"/>
  <c r="J1535" i="8"/>
  <c r="J251" i="8"/>
  <c r="J394" i="8"/>
  <c r="J364" i="8"/>
  <c r="J253" i="8"/>
  <c r="J395" i="8"/>
  <c r="J363" i="8"/>
  <c r="J255" i="8"/>
  <c r="J211" i="8"/>
  <c r="J300" i="8"/>
  <c r="J269" i="8"/>
  <c r="J218" i="8"/>
  <c r="J375" i="8"/>
  <c r="J271" i="8"/>
  <c r="J232" i="8"/>
  <c r="J229" i="8"/>
  <c r="J365" i="8"/>
  <c r="J291" i="8"/>
  <c r="J294" i="8"/>
  <c r="J207" i="8"/>
  <c r="J296" i="8"/>
  <c r="J396" i="8"/>
  <c r="J210" i="8"/>
  <c r="J256" i="8"/>
  <c r="J399" i="8"/>
  <c r="J259" i="8"/>
  <c r="J335" i="8"/>
  <c r="J212" i="8"/>
  <c r="J268" i="8"/>
  <c r="J369" i="8"/>
  <c r="J262" i="8"/>
  <c r="J213" i="8"/>
  <c r="J372" i="8"/>
  <c r="J261" i="8"/>
  <c r="J270" i="8"/>
  <c r="J260" i="8"/>
  <c r="J298" i="8"/>
  <c r="J220" i="8"/>
  <c r="J200" i="8"/>
  <c r="J224" i="8"/>
  <c r="J276" i="8"/>
  <c r="J391" i="8"/>
  <c r="J203" i="8"/>
  <c r="J289" i="8"/>
  <c r="J393" i="8"/>
  <c r="J204" i="8"/>
  <c r="J344" i="8"/>
  <c r="J206" i="8"/>
  <c r="J264" i="8"/>
  <c r="J202" i="8"/>
  <c r="J227" i="8"/>
  <c r="J284" i="8"/>
  <c r="J392" i="8"/>
  <c r="J299" i="8"/>
  <c r="J147" i="8"/>
  <c r="J31" i="8"/>
  <c r="J162" i="8"/>
  <c r="J44" i="8"/>
  <c r="J150" i="8"/>
  <c r="J131" i="8"/>
  <c r="J132" i="8"/>
  <c r="J49" i="8"/>
  <c r="J153" i="8"/>
  <c r="J140" i="8"/>
  <c r="J161" i="8"/>
  <c r="J42" i="8"/>
  <c r="J53" i="8"/>
  <c r="J152" i="8"/>
  <c r="J51" i="8"/>
  <c r="J155" i="8"/>
  <c r="J26" i="8"/>
  <c r="J38" i="8"/>
  <c r="J143" i="8"/>
  <c r="J158" i="8"/>
  <c r="J1570" i="8"/>
  <c r="J29" i="8"/>
  <c r="J163" i="8"/>
  <c r="J30" i="8"/>
  <c r="J164" i="8"/>
  <c r="J165" i="8"/>
  <c r="J50" i="8"/>
  <c r="J24" i="8"/>
  <c r="J154" i="8"/>
  <c r="J25" i="8"/>
  <c r="J54" i="8"/>
  <c r="J27" i="8"/>
  <c r="J39" i="8"/>
  <c r="J144" i="8"/>
  <c r="J159" i="8"/>
  <c r="J171" i="8"/>
  <c r="J41" i="8"/>
  <c r="J148" i="8"/>
  <c r="J149" i="8"/>
  <c r="J130" i="8"/>
  <c r="J34" i="8"/>
  <c r="J151" i="8"/>
  <c r="J33" i="8"/>
  <c r="J35" i="8"/>
  <c r="J37" i="8"/>
  <c r="J142" i="8"/>
  <c r="J28" i="8"/>
  <c r="J40" i="8"/>
  <c r="J145" i="8"/>
  <c r="J160" i="8"/>
  <c r="J170" i="8"/>
  <c r="J1543" i="8"/>
  <c r="J301" i="8"/>
  <c r="J355" i="8"/>
  <c r="J455" i="8"/>
  <c r="J1137" i="8"/>
  <c r="J1458" i="8"/>
  <c r="J1514" i="8"/>
  <c r="J1541" i="8"/>
  <c r="J353" i="8"/>
  <c r="J483" i="8"/>
  <c r="J733" i="8"/>
  <c r="J423" i="8"/>
  <c r="J460" i="8"/>
  <c r="J1141" i="8"/>
  <c r="J1216" i="8"/>
  <c r="J1545" i="8"/>
  <c r="H126" i="8"/>
  <c r="J166" i="8"/>
  <c r="J244" i="8"/>
  <c r="J352" i="8"/>
  <c r="J540" i="8"/>
  <c r="J917" i="8"/>
  <c r="J985" i="8"/>
  <c r="J1142" i="8"/>
  <c r="J1505" i="8"/>
  <c r="J134" i="8"/>
  <c r="J249" i="8"/>
  <c r="J266" i="8"/>
  <c r="J351" i="8"/>
  <c r="J539" i="8"/>
  <c r="J913" i="8"/>
  <c r="J1466" i="8"/>
  <c r="J354" i="8"/>
  <c r="J650" i="8"/>
  <c r="J1019" i="8"/>
  <c r="H1783" i="8"/>
  <c r="J1784" i="8"/>
  <c r="J235" i="8"/>
  <c r="J248" i="8"/>
  <c r="J274" i="8"/>
  <c r="J350" i="8"/>
  <c r="J435" i="8"/>
  <c r="J556" i="8"/>
  <c r="J619" i="8"/>
  <c r="J991" i="8"/>
  <c r="J1073" i="8"/>
  <c r="J190" i="8"/>
  <c r="J510" i="8"/>
  <c r="J234" i="8"/>
  <c r="J247" i="8"/>
  <c r="J336" i="8"/>
  <c r="J349" i="8"/>
  <c r="J479" i="8"/>
  <c r="J577" i="8"/>
  <c r="J635" i="8"/>
  <c r="J830" i="8"/>
  <c r="J937" i="8"/>
  <c r="J1072" i="8"/>
  <c r="J1486" i="8"/>
  <c r="J1531" i="8"/>
  <c r="J526" i="8"/>
  <c r="J960" i="8"/>
  <c r="J233" i="8"/>
  <c r="J246" i="8"/>
  <c r="J470" i="8"/>
  <c r="J553" i="8"/>
  <c r="J989" i="8"/>
  <c r="J1026" i="8"/>
  <c r="J1058" i="8"/>
  <c r="J1287" i="8"/>
  <c r="J1519" i="8"/>
  <c r="J226" i="8"/>
  <c r="J506" i="8"/>
  <c r="J531" i="8"/>
  <c r="J565" i="8"/>
  <c r="J641" i="8"/>
  <c r="J967" i="8"/>
  <c r="J1163" i="8"/>
  <c r="J1866" i="8"/>
  <c r="J217" i="8"/>
  <c r="J358" i="8"/>
  <c r="J495" i="8"/>
  <c r="J514" i="8"/>
  <c r="J564" i="8"/>
  <c r="J640" i="8"/>
  <c r="J683" i="8"/>
  <c r="J751" i="8"/>
  <c r="J1162" i="8"/>
  <c r="J1188" i="8"/>
  <c r="J1490" i="8"/>
  <c r="J1556" i="8"/>
  <c r="J254" i="8"/>
  <c r="J357" i="8"/>
  <c r="J494" i="8"/>
  <c r="J581" i="8"/>
  <c r="J694" i="8"/>
  <c r="J767" i="8"/>
  <c r="J1022" i="8"/>
  <c r="J1102" i="8"/>
  <c r="J1534" i="8"/>
  <c r="J1576" i="8"/>
  <c r="J329" i="8"/>
  <c r="J258" i="8"/>
  <c r="J356" i="8"/>
  <c r="J486" i="8"/>
  <c r="J580" i="8"/>
  <c r="J724" i="8"/>
  <c r="J852" i="8"/>
  <c r="J964" i="8"/>
  <c r="J419" i="8"/>
  <c r="J1219" i="8"/>
  <c r="J1250" i="8"/>
  <c r="G698" i="8"/>
  <c r="G695" i="8" s="1"/>
  <c r="H1091" i="8"/>
  <c r="H1030" i="8"/>
  <c r="H854" i="8"/>
  <c r="H77" i="8"/>
  <c r="G76" i="8"/>
  <c r="H1685" i="8"/>
  <c r="G197" i="8"/>
  <c r="G194" i="8" s="1"/>
  <c r="H231" i="8"/>
  <c r="H1662" i="8"/>
  <c r="G1194" i="8"/>
  <c r="G1031" i="8"/>
  <c r="H1727" i="8"/>
  <c r="H348" i="8"/>
  <c r="H146" i="8"/>
  <c r="H541" i="8"/>
  <c r="H634" i="8"/>
  <c r="H1272" i="8"/>
  <c r="H903" i="8"/>
  <c r="H949" i="8"/>
  <c r="H1174" i="8"/>
  <c r="G888" i="8"/>
  <c r="G886" i="8" s="1"/>
  <c r="H488" i="8"/>
  <c r="H1377" i="8"/>
  <c r="H477" i="8"/>
  <c r="H167" i="8"/>
  <c r="H378" i="8"/>
  <c r="H616" i="8"/>
  <c r="H811" i="8"/>
  <c r="H1436" i="8"/>
  <c r="H1595" i="8"/>
  <c r="H1698" i="8"/>
  <c r="H1523" i="8"/>
  <c r="H1597" i="8"/>
  <c r="H1700" i="8"/>
  <c r="H1658" i="8"/>
  <c r="H198" i="8"/>
  <c r="H1702" i="8"/>
  <c r="H682" i="8"/>
  <c r="H195" i="8"/>
  <c r="H1344" i="8"/>
  <c r="H1013" i="8"/>
  <c r="H1300" i="8"/>
  <c r="H1336" i="8"/>
  <c r="H1375" i="8"/>
  <c r="H1227" i="8"/>
  <c r="H1262" i="8"/>
  <c r="H1632" i="8"/>
  <c r="H1264" i="8"/>
  <c r="H1340" i="8"/>
  <c r="H1674" i="8"/>
  <c r="G127" i="8"/>
  <c r="G125" i="8"/>
  <c r="H1530" i="8"/>
  <c r="H209" i="8"/>
  <c r="H1567" i="8"/>
  <c r="H1140" i="8"/>
  <c r="H718" i="8"/>
  <c r="H216" i="8"/>
  <c r="H196" i="8"/>
  <c r="H799" i="8"/>
  <c r="H1295" i="8"/>
  <c r="H1332" i="8"/>
  <c r="H97" i="8"/>
  <c r="H1148" i="8"/>
  <c r="H840" i="8"/>
  <c r="H496" i="8"/>
  <c r="H1868" i="8"/>
  <c r="H1412" i="8"/>
  <c r="H10" i="8"/>
  <c r="H735" i="8"/>
  <c r="H1200" i="8"/>
  <c r="H1498" i="8"/>
  <c r="H1472" i="8"/>
  <c r="H1635" i="8"/>
  <c r="G1549" i="8"/>
  <c r="H1352" i="8"/>
  <c r="H410" i="8"/>
  <c r="G183" i="8"/>
  <c r="G900" i="8"/>
  <c r="G898" i="8" s="1"/>
  <c r="H872" i="8"/>
  <c r="G848" i="8"/>
  <c r="H444" i="8"/>
  <c r="H5" i="8"/>
  <c r="H1223" i="8"/>
  <c r="H1039" i="8"/>
  <c r="H1258" i="8"/>
  <c r="H819" i="8"/>
  <c r="G1548" i="8"/>
  <c r="H1551" i="8"/>
  <c r="G1540" i="8"/>
  <c r="G1506" i="8"/>
  <c r="G1451" i="8"/>
  <c r="H1406" i="8"/>
  <c r="G1387" i="8"/>
  <c r="G1346" i="8"/>
  <c r="G1143" i="8"/>
  <c r="H923" i="8"/>
  <c r="G729" i="8"/>
  <c r="G677" i="8"/>
  <c r="G611" i="8"/>
  <c r="H596" i="8"/>
  <c r="G490" i="8"/>
  <c r="G403" i="8"/>
  <c r="G387" i="8"/>
  <c r="G384" i="8" s="1"/>
  <c r="G324" i="8"/>
  <c r="G321" i="8"/>
  <c r="G325" i="8"/>
  <c r="G228" i="8"/>
  <c r="G116" i="8"/>
  <c r="G199" i="8"/>
  <c r="H169" i="8"/>
  <c r="G172" i="8"/>
  <c r="G188" i="8"/>
  <c r="G182" i="8" s="1"/>
  <c r="G169" i="8"/>
  <c r="H189" i="8"/>
  <c r="H128" i="8"/>
  <c r="G124" i="8"/>
  <c r="G8" i="8"/>
  <c r="J133" i="8" l="1"/>
  <c r="M1784" i="8"/>
  <c r="M1866" i="8"/>
  <c r="M1712" i="8"/>
  <c r="M200" i="8"/>
  <c r="J477" i="8"/>
  <c r="J1017" i="8"/>
  <c r="M1867" i="8"/>
  <c r="J348" i="8"/>
  <c r="M1490" i="8"/>
  <c r="M619" i="8"/>
  <c r="M164" i="8"/>
  <c r="M428" i="8"/>
  <c r="M1100" i="8"/>
  <c r="M512" i="8"/>
  <c r="M1518" i="8"/>
  <c r="M945" i="8"/>
  <c r="M841" i="8"/>
  <c r="M715" i="8"/>
  <c r="M1419" i="8"/>
  <c r="M1002" i="8"/>
  <c r="M860" i="8"/>
  <c r="M299" i="8"/>
  <c r="M966" i="8"/>
  <c r="M1170" i="8"/>
  <c r="M808" i="8"/>
  <c r="M1109" i="8"/>
  <c r="M1684" i="8"/>
  <c r="M861" i="8"/>
  <c r="M1296" i="8"/>
  <c r="M637" i="8"/>
  <c r="M606" i="8"/>
  <c r="M1097" i="8"/>
  <c r="M1250" i="8"/>
  <c r="M1162" i="8"/>
  <c r="M435" i="8"/>
  <c r="M142" i="8"/>
  <c r="M268" i="8"/>
  <c r="M786" i="8"/>
  <c r="M545" i="8"/>
  <c r="M1585" i="8"/>
  <c r="M1481" i="8"/>
  <c r="M745" i="8"/>
  <c r="M644" i="8"/>
  <c r="M1062" i="8"/>
  <c r="M739" i="8"/>
  <c r="M1516" i="8"/>
  <c r="M1026" i="8"/>
  <c r="M353" i="8"/>
  <c r="M147" i="8"/>
  <c r="M987" i="8"/>
  <c r="M820" i="8"/>
  <c r="M1290" i="8"/>
  <c r="M527" i="8"/>
  <c r="M1281" i="8"/>
  <c r="M1057" i="8"/>
  <c r="M500" i="8"/>
  <c r="M1333" i="8"/>
  <c r="M856" i="8"/>
  <c r="M1052" i="8"/>
  <c r="J1632" i="8"/>
  <c r="M1634" i="8"/>
  <c r="M569" i="8"/>
  <c r="M1584" i="8"/>
  <c r="M1206" i="8"/>
  <c r="M1188" i="8"/>
  <c r="M244" i="8"/>
  <c r="M395" i="8"/>
  <c r="M1288" i="8"/>
  <c r="M1041" i="8"/>
  <c r="M505" i="8"/>
  <c r="M1247" i="8"/>
  <c r="M1008" i="8"/>
  <c r="M889" i="8"/>
  <c r="M792" i="8"/>
  <c r="M791" i="8"/>
  <c r="M1020" i="8"/>
  <c r="M1124" i="8"/>
  <c r="M688" i="8"/>
  <c r="M1670" i="8"/>
  <c r="M1434" i="8"/>
  <c r="M1659" i="8"/>
  <c r="M1534" i="8"/>
  <c r="M577" i="8"/>
  <c r="M1514" i="8"/>
  <c r="M161" i="8"/>
  <c r="M365" i="8"/>
  <c r="M1093" i="8"/>
  <c r="M1101" i="8"/>
  <c r="M716" i="8"/>
  <c r="M833" i="8"/>
  <c r="M816" i="8"/>
  <c r="M422" i="8"/>
  <c r="M573" i="8"/>
  <c r="M1126" i="8"/>
  <c r="M1044" i="8"/>
  <c r="M656" i="8"/>
  <c r="M1452" i="8"/>
  <c r="M1402" i="8"/>
  <c r="M1219" i="8"/>
  <c r="M967" i="8"/>
  <c r="M224" i="8"/>
  <c r="M583" i="8"/>
  <c r="M622" i="8"/>
  <c r="M929" i="8"/>
  <c r="M1520" i="8"/>
  <c r="M762" i="8"/>
  <c r="M1242" i="8"/>
  <c r="M774" i="8"/>
  <c r="M570" i="8"/>
  <c r="M1389" i="8"/>
  <c r="M1234" i="8"/>
  <c r="M961" i="8"/>
  <c r="M474" i="8"/>
  <c r="M952" i="8"/>
  <c r="M1225" i="8"/>
  <c r="M890" i="8"/>
  <c r="M1407" i="8"/>
  <c r="M1016" i="8"/>
  <c r="M419" i="8"/>
  <c r="M246" i="8"/>
  <c r="M266" i="8"/>
  <c r="M1137" i="8"/>
  <c r="M232" i="8"/>
  <c r="M1280" i="8"/>
  <c r="M1405" i="8"/>
  <c r="M1437" i="8"/>
  <c r="M954" i="8"/>
  <c r="M529" i="8"/>
  <c r="M977" i="8"/>
  <c r="M414" i="8"/>
  <c r="M1226" i="8"/>
  <c r="M933" i="8"/>
  <c r="M624" i="8"/>
  <c r="M722" i="8"/>
  <c r="M508" i="8"/>
  <c r="M648" i="8"/>
  <c r="M485" i="8"/>
  <c r="M904" i="8"/>
  <c r="M825" i="8"/>
  <c r="M1192" i="8"/>
  <c r="M899" i="8"/>
  <c r="M1429" i="8"/>
  <c r="M910" i="8"/>
  <c r="M568" i="8"/>
  <c r="M1365" i="8"/>
  <c r="M1363" i="8"/>
  <c r="M839" i="8"/>
  <c r="M725" i="8"/>
  <c r="M964" i="8"/>
  <c r="M640" i="8"/>
  <c r="M336" i="8"/>
  <c r="M249" i="8"/>
  <c r="M158" i="8"/>
  <c r="M220" i="8"/>
  <c r="M1637" i="8"/>
  <c r="M976" i="8"/>
  <c r="M843" i="8"/>
  <c r="M842" i="8"/>
  <c r="M1457" i="8"/>
  <c r="M902" i="8"/>
  <c r="M555" i="8"/>
  <c r="M1024" i="8"/>
  <c r="M1204" i="8"/>
  <c r="M599" i="8"/>
  <c r="M654" i="8"/>
  <c r="M617" i="8"/>
  <c r="M1168" i="8"/>
  <c r="M1130" i="8"/>
  <c r="M476" i="8"/>
  <c r="M1195" i="8"/>
  <c r="M939" i="8"/>
  <c r="M1083" i="8"/>
  <c r="M1125" i="8"/>
  <c r="M1084" i="8"/>
  <c r="M803" i="8"/>
  <c r="M738" i="8"/>
  <c r="M1187" i="8"/>
  <c r="M1671" i="8"/>
  <c r="M1334" i="8"/>
  <c r="M1331" i="8"/>
  <c r="M768" i="8"/>
  <c r="M530" i="8"/>
  <c r="M869" i="8"/>
  <c r="M694" i="8"/>
  <c r="M960" i="8"/>
  <c r="M235" i="8"/>
  <c r="M1216" i="8"/>
  <c r="M143" i="8"/>
  <c r="M298" i="8"/>
  <c r="M1535" i="8"/>
  <c r="M951" i="8"/>
  <c r="M1366" i="8"/>
  <c r="M748" i="8"/>
  <c r="M1408" i="8"/>
  <c r="M1116" i="8"/>
  <c r="M1217" i="8"/>
  <c r="M1360" i="8"/>
  <c r="M439" i="8"/>
  <c r="M1431" i="8"/>
  <c r="M894" i="8"/>
  <c r="M1317" i="8"/>
  <c r="M491" i="8"/>
  <c r="M1117" i="8"/>
  <c r="M487" i="8"/>
  <c r="M1596" i="8"/>
  <c r="M855" i="8"/>
  <c r="M1665" i="8"/>
  <c r="M1053" i="8"/>
  <c r="M730" i="8"/>
  <c r="M1397" i="8"/>
  <c r="M497" i="8"/>
  <c r="M450" i="8"/>
  <c r="M1075" i="8"/>
  <c r="M675" i="8"/>
  <c r="M1568" i="8"/>
  <c r="M581" i="8"/>
  <c r="M506" i="8"/>
  <c r="M526" i="8"/>
  <c r="M1505" i="8"/>
  <c r="M1141" i="8"/>
  <c r="M301" i="8"/>
  <c r="M154" i="8"/>
  <c r="M131" i="8"/>
  <c r="M206" i="8"/>
  <c r="M260" i="8"/>
  <c r="M256" i="8"/>
  <c r="M218" i="8"/>
  <c r="M1517" i="8"/>
  <c r="M1473" i="8"/>
  <c r="M934" i="8"/>
  <c r="M626" i="8"/>
  <c r="M1298" i="8"/>
  <c r="M1289" i="8"/>
  <c r="M651" i="8"/>
  <c r="M1351" i="8"/>
  <c r="M794" i="8"/>
  <c r="M561" i="8"/>
  <c r="M1210" i="8"/>
  <c r="M1136" i="8"/>
  <c r="M1347" i="8"/>
  <c r="M1327" i="8"/>
  <c r="M763" i="8"/>
  <c r="M1325" i="8"/>
  <c r="M412" i="8"/>
  <c r="M787" i="8"/>
  <c r="M828" i="8"/>
  <c r="M1416" i="8"/>
  <c r="M865" i="8"/>
  <c r="M507" i="8"/>
  <c r="M1260" i="8"/>
  <c r="M424" i="8"/>
  <c r="M1276" i="8"/>
  <c r="M1214" i="8"/>
  <c r="M1611" i="8"/>
  <c r="M1077" i="8"/>
  <c r="M1668" i="8"/>
  <c r="M1040" i="8"/>
  <c r="M411" i="8"/>
  <c r="M1197" i="8"/>
  <c r="M1156" i="8"/>
  <c r="M1477" i="8"/>
  <c r="M1127" i="8"/>
  <c r="M838" i="8"/>
  <c r="M445" i="8"/>
  <c r="M1511" i="8"/>
  <c r="M873" i="8"/>
  <c r="M1005" i="8"/>
  <c r="M978" i="8"/>
  <c r="M582" i="8"/>
  <c r="M629" i="8"/>
  <c r="M664" i="8"/>
  <c r="M1368" i="8"/>
  <c r="M1134" i="8"/>
  <c r="M845" i="8"/>
  <c r="M451" i="8"/>
  <c r="M1414" i="8"/>
  <c r="M1152" i="8"/>
  <c r="M1201" i="8"/>
  <c r="M678" i="8"/>
  <c r="M1254" i="8"/>
  <c r="M1049" i="8"/>
  <c r="M610" i="8"/>
  <c r="M1018" i="8"/>
  <c r="M1474" i="8"/>
  <c r="M757" i="8"/>
  <c r="M580" i="8"/>
  <c r="M494" i="8"/>
  <c r="M495" i="8"/>
  <c r="M226" i="8"/>
  <c r="M1531" i="8"/>
  <c r="M510" i="8"/>
  <c r="M1142" i="8"/>
  <c r="M460" i="8"/>
  <c r="M1543" i="8"/>
  <c r="M130" i="8"/>
  <c r="M150" i="8"/>
  <c r="M344" i="8"/>
  <c r="M270" i="8"/>
  <c r="M210" i="8"/>
  <c r="M269" i="8"/>
  <c r="M1085" i="8"/>
  <c r="M1432" i="8"/>
  <c r="M1205" i="8"/>
  <c r="M914" i="8"/>
  <c r="M600" i="8"/>
  <c r="M1240" i="8"/>
  <c r="M1213" i="8"/>
  <c r="M546" i="8"/>
  <c r="M1315" i="8"/>
  <c r="M771" i="8"/>
  <c r="M1460" i="8"/>
  <c r="M1166" i="8"/>
  <c r="M462" i="8"/>
  <c r="M1492" i="8"/>
  <c r="M1284" i="8"/>
  <c r="M713" i="8"/>
  <c r="M1269" i="8"/>
  <c r="M965" i="8"/>
  <c r="M697" i="8"/>
  <c r="M737" i="8"/>
  <c r="M1399" i="8"/>
  <c r="M1135" i="8"/>
  <c r="M846" i="8"/>
  <c r="M452" i="8"/>
  <c r="M1202" i="8"/>
  <c r="M831" i="8"/>
  <c r="M1239" i="8"/>
  <c r="M1047" i="8"/>
  <c r="M1480" i="8"/>
  <c r="M986" i="8"/>
  <c r="M1609" i="8"/>
  <c r="M957" i="8"/>
  <c r="M1512" i="8"/>
  <c r="M1129" i="8"/>
  <c r="M1081" i="8"/>
  <c r="M1421" i="8"/>
  <c r="M1110" i="8"/>
  <c r="M807" i="8"/>
  <c r="M407" i="8"/>
  <c r="M1420" i="8"/>
  <c r="M853" i="8"/>
  <c r="M513" i="8"/>
  <c r="M938" i="8"/>
  <c r="M1663" i="8"/>
  <c r="M554" i="8"/>
  <c r="M1355" i="8"/>
  <c r="M1121" i="8"/>
  <c r="M817" i="8"/>
  <c r="M425" i="8"/>
  <c r="M1335" i="8"/>
  <c r="M1046" i="8"/>
  <c r="M1132" i="8"/>
  <c r="M1155" i="8"/>
  <c r="M1211" i="8"/>
  <c r="M1598" i="8"/>
  <c r="M446" i="8"/>
  <c r="M916" i="8"/>
  <c r="M1418" i="8"/>
  <c r="M669" i="8"/>
  <c r="M830" i="8"/>
  <c r="M203" i="8"/>
  <c r="M363" i="8"/>
  <c r="M1222" i="8"/>
  <c r="M881" i="8"/>
  <c r="M953" i="8"/>
  <c r="M755" i="8"/>
  <c r="M781" i="8"/>
  <c r="M1270" i="8"/>
  <c r="M1230" i="8"/>
  <c r="M1278" i="8"/>
  <c r="M1120" i="8"/>
  <c r="M1253" i="8"/>
  <c r="M1576" i="8"/>
  <c r="M989" i="8"/>
  <c r="M1541" i="8"/>
  <c r="M291" i="8"/>
  <c r="M1106" i="8"/>
  <c r="M418" i="8"/>
  <c r="M1701" i="8"/>
  <c r="M1483" i="8"/>
  <c r="M480" i="8"/>
  <c r="M709" i="8"/>
  <c r="M1524" i="8"/>
  <c r="M674" i="8"/>
  <c r="M536" i="8"/>
  <c r="M1538" i="8"/>
  <c r="M1043" i="8"/>
  <c r="M857" i="8"/>
  <c r="M1163" i="8"/>
  <c r="M166" i="8"/>
  <c r="M163" i="8"/>
  <c r="M253" i="8"/>
  <c r="M1151" i="8"/>
  <c r="M958" i="8"/>
  <c r="M1067" i="8"/>
  <c r="M1065" i="8"/>
  <c r="M1533" i="8"/>
  <c r="M1257" i="8"/>
  <c r="M744" i="8"/>
  <c r="M1004" i="8"/>
  <c r="M1310" i="8"/>
  <c r="M1241" i="8"/>
  <c r="M1612" i="8"/>
  <c r="M1038" i="8"/>
  <c r="M1696" i="8"/>
  <c r="M1102" i="8"/>
  <c r="M1458" i="8"/>
  <c r="M364" i="8"/>
  <c r="M756" i="8"/>
  <c r="M1476" i="8"/>
  <c r="M1539" i="8"/>
  <c r="M782" i="8"/>
  <c r="M1343" i="8"/>
  <c r="M329" i="8"/>
  <c r="M1466" i="8"/>
  <c r="M1357" i="8"/>
  <c r="M1149" i="8"/>
  <c r="M1303" i="8"/>
  <c r="M501" i="8"/>
  <c r="M1350" i="8"/>
  <c r="M1285" i="8"/>
  <c r="M631" i="8"/>
  <c r="M723" i="8"/>
  <c r="M926" i="8"/>
  <c r="M556" i="8"/>
  <c r="M802" i="8"/>
  <c r="M563" i="8"/>
  <c r="M727" i="8"/>
  <c r="M1314" i="8"/>
  <c r="M955" i="8"/>
  <c r="M1359" i="8"/>
  <c r="M1261" i="8"/>
  <c r="M796" i="8"/>
  <c r="M458" i="8"/>
  <c r="M553" i="8"/>
  <c r="M539" i="8"/>
  <c r="M144" i="8"/>
  <c r="M276" i="8"/>
  <c r="M1322" i="8"/>
  <c r="M741" i="8"/>
  <c r="M1191" i="8"/>
  <c r="M620" i="8"/>
  <c r="M1439" i="8"/>
  <c r="M940" i="8"/>
  <c r="M557" i="8"/>
  <c r="M1491" i="8"/>
  <c r="M947" i="8"/>
  <c r="M810" i="8"/>
  <c r="M1094" i="8"/>
  <c r="M751" i="8"/>
  <c r="M350" i="8"/>
  <c r="M140" i="8"/>
  <c r="M212" i="8"/>
  <c r="M1059" i="8"/>
  <c r="M996" i="8"/>
  <c r="M1478" i="8"/>
  <c r="M1035" i="8"/>
  <c r="M1107" i="8"/>
  <c r="M950" i="8"/>
  <c r="M1428" i="8"/>
  <c r="M773" i="8"/>
  <c r="M1237" i="8"/>
  <c r="M646" i="8"/>
  <c r="M921" i="8"/>
  <c r="M1096" i="8"/>
  <c r="M1251" i="8"/>
  <c r="M415" i="8"/>
  <c r="M932" i="8"/>
  <c r="M665" i="8"/>
  <c r="M1463" i="8"/>
  <c r="M769" i="8"/>
  <c r="M827" i="8"/>
  <c r="M1725" i="8"/>
  <c r="M1022" i="8"/>
  <c r="M641" i="8"/>
  <c r="M274" i="8"/>
  <c r="M1730" i="8"/>
  <c r="M1570" i="8"/>
  <c r="M153" i="8"/>
  <c r="M335" i="8"/>
  <c r="M394" i="8"/>
  <c r="M1695" i="8"/>
  <c r="M728" i="8"/>
  <c r="M1624" i="8"/>
  <c r="M493" i="8"/>
  <c r="M908" i="8"/>
  <c r="M1528" i="8"/>
  <c r="M858" i="8"/>
  <c r="M448" i="8"/>
  <c r="M409" i="8"/>
  <c r="M1435" i="8"/>
  <c r="M671" i="8"/>
  <c r="M1497" i="8"/>
  <c r="M1396" i="8"/>
  <c r="M1395" i="8"/>
  <c r="M684" i="8"/>
  <c r="M1199" i="8"/>
  <c r="M703" i="8"/>
  <c r="M1198" i="8"/>
  <c r="M1329" i="8"/>
  <c r="M559" i="8"/>
  <c r="M1209" i="8"/>
  <c r="M558" i="8"/>
  <c r="M979" i="8"/>
  <c r="M1515" i="8"/>
  <c r="M1161" i="8"/>
  <c r="M829" i="8"/>
  <c r="M1203" i="8"/>
  <c r="M687" i="8"/>
  <c r="M449" i="8"/>
  <c r="M676" i="8"/>
  <c r="M1283" i="8"/>
  <c r="M936" i="8"/>
  <c r="M1702" i="8"/>
  <c r="M767" i="8"/>
  <c r="M565" i="8"/>
  <c r="M233" i="8"/>
  <c r="M248" i="8"/>
  <c r="M1545" i="8"/>
  <c r="M455" i="8"/>
  <c r="M202" i="8"/>
  <c r="M259" i="8"/>
  <c r="M271" i="8"/>
  <c r="M251" i="8"/>
  <c r="M696" i="8"/>
  <c r="M1468" i="8"/>
  <c r="M1462" i="8"/>
  <c r="M420" i="8"/>
  <c r="M1362" i="8"/>
  <c r="M1404" i="8"/>
  <c r="M1403" i="8"/>
  <c r="M1509" i="8"/>
  <c r="M915" i="8"/>
  <c r="M1471" i="8"/>
  <c r="M911" i="8"/>
  <c r="M1354" i="8"/>
  <c r="M502" i="8"/>
  <c r="M571" i="8"/>
  <c r="M612" i="8"/>
  <c r="M1273" i="8"/>
  <c r="M1666" i="8"/>
  <c r="M876" i="8"/>
  <c r="M528" i="8"/>
  <c r="M1415" i="8"/>
  <c r="M893" i="8"/>
  <c r="M548" i="8"/>
  <c r="M547" i="8"/>
  <c r="M1153" i="8"/>
  <c r="M544" i="8"/>
  <c r="M1232" i="8"/>
  <c r="M1588" i="8"/>
  <c r="M852" i="8"/>
  <c r="M564" i="8"/>
  <c r="M531" i="8"/>
  <c r="M247" i="8"/>
  <c r="M134" i="8"/>
  <c r="M355" i="8"/>
  <c r="M151" i="8"/>
  <c r="M132" i="8"/>
  <c r="M264" i="8"/>
  <c r="M399" i="8"/>
  <c r="M375" i="8"/>
  <c r="M1499" i="8"/>
  <c r="M1243" i="8"/>
  <c r="M661" i="8"/>
  <c r="M1501" i="8"/>
  <c r="M1286" i="8"/>
  <c r="M1388" i="8"/>
  <c r="M835" i="8"/>
  <c r="M1373" i="8"/>
  <c r="M849" i="8"/>
  <c r="M988" i="8"/>
  <c r="M1189" i="8"/>
  <c r="M549" i="8"/>
  <c r="M578" i="8"/>
  <c r="M1316" i="8"/>
  <c r="M482" i="8"/>
  <c r="M503" i="8"/>
  <c r="M1099" i="8"/>
  <c r="M1236" i="8"/>
  <c r="M1513" i="8"/>
  <c r="M1160" i="8"/>
  <c r="M475" i="8"/>
  <c r="M919" i="8"/>
  <c r="M1095" i="8"/>
  <c r="M1054" i="8"/>
  <c r="M706" i="8"/>
  <c r="M1173" i="8"/>
  <c r="M864" i="8"/>
  <c r="M1488" i="8"/>
  <c r="M1259" i="8"/>
  <c r="M1294" i="8"/>
  <c r="M447" i="8"/>
  <c r="M1108" i="8"/>
  <c r="M832" i="8"/>
  <c r="M724" i="8"/>
  <c r="M514" i="8"/>
  <c r="M234" i="8"/>
  <c r="M486" i="8"/>
  <c r="M357" i="8"/>
  <c r="M466" i="8"/>
  <c r="M1519" i="8"/>
  <c r="M1486" i="8"/>
  <c r="M190" i="8"/>
  <c r="M1019" i="8"/>
  <c r="M985" i="8"/>
  <c r="M423" i="8"/>
  <c r="M170" i="8"/>
  <c r="M149" i="8"/>
  <c r="M155" i="8"/>
  <c r="M204" i="8"/>
  <c r="M261" i="8"/>
  <c r="M396" i="8"/>
  <c r="M300" i="8"/>
  <c r="M1055" i="8"/>
  <c r="M1417" i="8"/>
  <c r="M1190" i="8"/>
  <c r="M896" i="8"/>
  <c r="M550" i="8"/>
  <c r="M1186" i="8"/>
  <c r="M481" i="8"/>
  <c r="M421" i="8"/>
  <c r="M1275" i="8"/>
  <c r="M746" i="8"/>
  <c r="M1154" i="8"/>
  <c r="M1114" i="8"/>
  <c r="M1003" i="8"/>
  <c r="M732" i="8"/>
  <c r="M1249" i="8"/>
  <c r="M636" i="8"/>
  <c r="M1207" i="8"/>
  <c r="M1507" i="8"/>
  <c r="M602" i="8"/>
  <c r="M663" i="8"/>
  <c r="M1356" i="8"/>
  <c r="M1122" i="8"/>
  <c r="M818" i="8"/>
  <c r="M426" i="8"/>
  <c r="M1133" i="8"/>
  <c r="M740" i="8"/>
  <c r="M1185" i="8"/>
  <c r="M1011" i="8"/>
  <c r="M1426" i="8"/>
  <c r="M943" i="8"/>
  <c r="M1479" i="8"/>
  <c r="M942" i="8"/>
  <c r="M572" i="8"/>
  <c r="M1069" i="8"/>
  <c r="M1051" i="8"/>
  <c r="M1361" i="8"/>
  <c r="M1098" i="8"/>
  <c r="M790" i="8"/>
  <c r="M1218" i="8"/>
  <c r="M805" i="8"/>
  <c r="M1699" i="8"/>
  <c r="M870" i="8"/>
  <c r="M1433" i="8"/>
  <c r="M1537" i="8"/>
  <c r="M516" i="8"/>
  <c r="M1104" i="8"/>
  <c r="M800" i="8"/>
  <c r="M1522" i="8"/>
  <c r="M1277" i="8"/>
  <c r="M417" i="8"/>
  <c r="M1087" i="8"/>
  <c r="M1078" i="8"/>
  <c r="M1167" i="8"/>
  <c r="M1423" i="8"/>
  <c r="M826" i="8"/>
  <c r="M851" i="8"/>
  <c r="M1358" i="8"/>
  <c r="M551" i="8"/>
  <c r="M356" i="8"/>
  <c r="M254" i="8"/>
  <c r="M358" i="8"/>
  <c r="M1287" i="8"/>
  <c r="M1072" i="8"/>
  <c r="M1073" i="8"/>
  <c r="M650" i="8"/>
  <c r="M917" i="8"/>
  <c r="M733" i="8"/>
  <c r="M160" i="8"/>
  <c r="M148" i="8"/>
  <c r="M162" i="8"/>
  <c r="M393" i="8"/>
  <c r="M372" i="8"/>
  <c r="M296" i="8"/>
  <c r="M211" i="8"/>
  <c r="M413" i="8"/>
  <c r="M1400" i="8"/>
  <c r="M1176" i="8"/>
  <c r="M867" i="8"/>
  <c r="M523" i="8"/>
  <c r="M1103" i="8"/>
  <c r="M1413" i="8"/>
  <c r="M1678" i="8"/>
  <c r="M1238" i="8"/>
  <c r="M719" i="8"/>
  <c r="M1079" i="8"/>
  <c r="M981" i="8"/>
  <c r="M734" i="8"/>
  <c r="M638" i="8"/>
  <c r="M1233" i="8"/>
  <c r="M538" i="8"/>
  <c r="M1147" i="8"/>
  <c r="M1401" i="8"/>
  <c r="M454" i="8"/>
  <c r="M642" i="8"/>
  <c r="M1339" i="8"/>
  <c r="M1105" i="8"/>
  <c r="M801" i="8"/>
  <c r="M1212" i="8"/>
  <c r="M1089" i="8"/>
  <c r="M667" i="8"/>
  <c r="M1119" i="8"/>
  <c r="M992" i="8"/>
  <c r="M1392" i="8"/>
  <c r="M907" i="8"/>
  <c r="M1424" i="8"/>
  <c r="M906" i="8"/>
  <c r="M484" i="8"/>
  <c r="M956" i="8"/>
  <c r="M824" i="8"/>
  <c r="M1328" i="8"/>
  <c r="M1068" i="8"/>
  <c r="M764" i="8"/>
  <c r="M1157" i="8"/>
  <c r="M789" i="8"/>
  <c r="M1664" i="8"/>
  <c r="M804" i="8"/>
  <c r="M1371" i="8"/>
  <c r="M1484" i="8"/>
  <c r="M499" i="8"/>
  <c r="M1320" i="8"/>
  <c r="M1090" i="8"/>
  <c r="M775" i="8"/>
  <c r="M1165" i="8"/>
  <c r="M1224" i="8"/>
  <c r="M780" i="8"/>
  <c r="M963" i="8"/>
  <c r="M459" i="8"/>
  <c r="M1070" i="8"/>
  <c r="M1349" i="8"/>
  <c r="M576" i="8"/>
  <c r="M788" i="8"/>
  <c r="M1323" i="8"/>
  <c r="M437" i="8"/>
  <c r="M352" i="8"/>
  <c r="M171" i="8"/>
  <c r="M262" i="8"/>
  <c r="M1123" i="8"/>
  <c r="M909" i="8"/>
  <c r="M823" i="8"/>
  <c r="M1493" i="8"/>
  <c r="M498" i="8"/>
  <c r="M931" i="8"/>
  <c r="M1215" i="8"/>
  <c r="M1667" i="8"/>
  <c r="M980" i="8"/>
  <c r="M673" i="8"/>
  <c r="M1164" i="8"/>
  <c r="M416" i="8"/>
  <c r="M509" i="8"/>
  <c r="M604" i="8"/>
  <c r="M913" i="8"/>
  <c r="M159" i="8"/>
  <c r="M369" i="8"/>
  <c r="M1341" i="8"/>
  <c r="M844" i="8"/>
  <c r="M783" i="8"/>
  <c r="M1158" i="8"/>
  <c r="M1279" i="8"/>
  <c r="M1529" i="8"/>
  <c r="M1048" i="8"/>
  <c r="M1271" i="8"/>
  <c r="M1208" i="8"/>
  <c r="M1071" i="8"/>
  <c r="M990" i="8"/>
  <c r="M1526" i="8"/>
  <c r="M1144" i="8"/>
  <c r="M392" i="8"/>
  <c r="M726" i="8"/>
  <c r="M750" i="8"/>
  <c r="M504" i="8"/>
  <c r="M1021" i="8"/>
  <c r="M973" i="8"/>
  <c r="M814" i="8"/>
  <c r="M1274" i="8"/>
  <c r="M1252" i="8"/>
  <c r="M1495" i="8"/>
  <c r="M948" i="8"/>
  <c r="M720" i="8"/>
  <c r="J1685" i="8"/>
  <c r="M1687" i="8"/>
  <c r="M470" i="8"/>
  <c r="M351" i="8"/>
  <c r="M1305" i="8"/>
  <c r="M707" i="8"/>
  <c r="M1669" i="8"/>
  <c r="M543" i="8"/>
  <c r="M639" i="8"/>
  <c r="M1056" i="8"/>
  <c r="M658" i="8"/>
  <c r="M1427" i="8"/>
  <c r="M1220" i="8"/>
  <c r="M717" i="8"/>
  <c r="M511" i="8"/>
  <c r="M609" i="8"/>
  <c r="M1248" i="8"/>
  <c r="M1470" i="8"/>
  <c r="M623" i="8"/>
  <c r="M567" i="8"/>
  <c r="M905" i="8"/>
  <c r="M258" i="8"/>
  <c r="M1556" i="8"/>
  <c r="M217" i="8"/>
  <c r="M1058" i="8"/>
  <c r="M937" i="8"/>
  <c r="M991" i="8"/>
  <c r="M354" i="8"/>
  <c r="M540" i="8"/>
  <c r="M483" i="8"/>
  <c r="M145" i="8"/>
  <c r="M165" i="8"/>
  <c r="M152" i="8"/>
  <c r="M289" i="8"/>
  <c r="M213" i="8"/>
  <c r="M207" i="8"/>
  <c r="M255" i="8"/>
  <c r="M1023" i="8"/>
  <c r="M1370" i="8"/>
  <c r="M1138" i="8"/>
  <c r="M847" i="8"/>
  <c r="M453" i="8"/>
  <c r="M999" i="8"/>
  <c r="M1297" i="8"/>
  <c r="M1502" i="8"/>
  <c r="M1131" i="8"/>
  <c r="M649" i="8"/>
  <c r="M918" i="8"/>
  <c r="M941" i="8"/>
  <c r="M579" i="8"/>
  <c r="M574" i="8"/>
  <c r="M1193" i="8"/>
  <c r="M1064" i="8"/>
  <c r="M1342" i="8"/>
  <c r="M1536" i="8"/>
  <c r="M584" i="8"/>
  <c r="M1321" i="8"/>
  <c r="M777" i="8"/>
  <c r="M779" i="8"/>
  <c r="M970" i="8"/>
  <c r="M618" i="8"/>
  <c r="M1042" i="8"/>
  <c r="M821" i="8"/>
  <c r="M1364" i="8"/>
  <c r="M887" i="8"/>
  <c r="M1391" i="8"/>
  <c r="M882" i="8"/>
  <c r="M1714" i="8"/>
  <c r="M925" i="8"/>
  <c r="M784" i="8"/>
  <c r="M1312" i="8"/>
  <c r="M1037" i="8"/>
  <c r="M743" i="8"/>
  <c r="M1082" i="8"/>
  <c r="M1311" i="8"/>
  <c r="M742" i="8"/>
  <c r="M1475" i="8"/>
  <c r="M736" i="8"/>
  <c r="M1307" i="8"/>
  <c r="M1150" i="8"/>
  <c r="M1675" i="8"/>
  <c r="M1050" i="8"/>
  <c r="M752" i="8"/>
  <c r="M1045" i="8"/>
  <c r="M1172" i="8"/>
  <c r="M708" i="8"/>
  <c r="M930" i="8"/>
  <c r="M822" i="8"/>
  <c r="M982" i="8"/>
  <c r="M1313" i="8"/>
  <c r="M472" i="8"/>
  <c r="M704" i="8"/>
  <c r="M1267" i="8"/>
  <c r="M1647" i="8"/>
  <c r="M54" i="8"/>
  <c r="M25" i="8"/>
  <c r="M51" i="8"/>
  <c r="M82" i="8"/>
  <c r="M80" i="8"/>
  <c r="M60" i="8"/>
  <c r="M19" i="8"/>
  <c r="M49" i="8"/>
  <c r="M52" i="8"/>
  <c r="M65" i="8"/>
  <c r="M63" i="8"/>
  <c r="M21" i="8"/>
  <c r="M67" i="8"/>
  <c r="M30" i="8"/>
  <c r="M99" i="8"/>
  <c r="M41" i="8"/>
  <c r="M29" i="8"/>
  <c r="M12" i="8"/>
  <c r="M7" i="8"/>
  <c r="M71" i="8"/>
  <c r="M40" i="8"/>
  <c r="M28" i="8"/>
  <c r="M92" i="8"/>
  <c r="M35" i="8"/>
  <c r="M24" i="8"/>
  <c r="M53" i="8"/>
  <c r="M14" i="8"/>
  <c r="M79" i="8"/>
  <c r="M74" i="8"/>
  <c r="M102" i="8"/>
  <c r="M9" i="8"/>
  <c r="M58" i="8"/>
  <c r="M33" i="8"/>
  <c r="M42" i="8"/>
  <c r="M103" i="8"/>
  <c r="M62" i="8"/>
  <c r="M59" i="8"/>
  <c r="M70" i="8"/>
  <c r="M32" i="8"/>
  <c r="M44" i="8"/>
  <c r="M100" i="8"/>
  <c r="M68" i="8"/>
  <c r="M23" i="8"/>
  <c r="M20" i="8"/>
  <c r="M50" i="8"/>
  <c r="M83" i="8"/>
  <c r="M16" i="8"/>
  <c r="M11" i="8"/>
  <c r="M6" i="8"/>
  <c r="M17" i="8"/>
  <c r="M27" i="8"/>
  <c r="M13" i="8"/>
  <c r="M75" i="8"/>
  <c r="M34" i="8"/>
  <c r="M66" i="8"/>
  <c r="M98" i="8"/>
  <c r="M78" i="8"/>
  <c r="M18" i="8"/>
  <c r="M55" i="8"/>
  <c r="M81" i="8"/>
  <c r="M61" i="8"/>
  <c r="M101" i="8"/>
  <c r="M73" i="8"/>
  <c r="M38" i="8"/>
  <c r="M31" i="8"/>
  <c r="M39" i="8"/>
  <c r="M26" i="8"/>
  <c r="M15" i="8"/>
  <c r="M64" i="8"/>
  <c r="M22" i="8"/>
  <c r="M104" i="8"/>
  <c r="M349" i="8"/>
  <c r="H1633" i="8"/>
  <c r="M391" i="8"/>
  <c r="J390" i="8"/>
  <c r="J1498" i="8"/>
  <c r="M1353" i="8"/>
  <c r="J1352" i="8"/>
  <c r="M1092" i="8"/>
  <c r="J1091" i="8"/>
  <c r="M1175" i="8"/>
  <c r="J1174" i="8"/>
  <c r="J1700" i="8"/>
  <c r="J1698" i="8"/>
  <c r="J1727" i="8"/>
  <c r="K515" i="8"/>
  <c r="J1674" i="8"/>
  <c r="J1264" i="8"/>
  <c r="M1265" i="8"/>
  <c r="J1300" i="8"/>
  <c r="M1301" i="8"/>
  <c r="J1530" i="8"/>
  <c r="J1595" i="8"/>
  <c r="J1227" i="8"/>
  <c r="M1228" i="8"/>
  <c r="J1523" i="8"/>
  <c r="J1262" i="8"/>
  <c r="M1263" i="8"/>
  <c r="J1436" i="8"/>
  <c r="J1375" i="8"/>
  <c r="M1376" i="8"/>
  <c r="J1344" i="8"/>
  <c r="M1345" i="8"/>
  <c r="J1336" i="8"/>
  <c r="M1337" i="8"/>
  <c r="J1597" i="8"/>
  <c r="J1658" i="8"/>
  <c r="M542" i="8"/>
  <c r="J541" i="8"/>
  <c r="M525" i="8"/>
  <c r="M441" i="8"/>
  <c r="M972" i="8"/>
  <c r="M901" i="8"/>
  <c r="M700" i="8"/>
  <c r="M598" i="8"/>
  <c r="M614" i="8"/>
  <c r="M635" i="8"/>
  <c r="J634" i="8"/>
  <c r="J488" i="8"/>
  <c r="M489" i="8"/>
  <c r="J682" i="8"/>
  <c r="M683" i="8"/>
  <c r="J1013" i="8"/>
  <c r="M1014" i="8"/>
  <c r="J279" i="8"/>
  <c r="M284" i="8"/>
  <c r="J811" i="8"/>
  <c r="M812" i="8"/>
  <c r="J280" i="8"/>
  <c r="M294" i="8"/>
  <c r="M691" i="8"/>
  <c r="M479" i="8"/>
  <c r="J195" i="8"/>
  <c r="M229" i="8"/>
  <c r="M48" i="8"/>
  <c r="J47" i="8"/>
  <c r="J167" i="8"/>
  <c r="M168" i="8"/>
  <c r="J198" i="8"/>
  <c r="M227" i="8"/>
  <c r="J56" i="8"/>
  <c r="M57" i="8"/>
  <c r="M37" i="8"/>
  <c r="J36" i="8"/>
  <c r="J126" i="8"/>
  <c r="J5" i="8"/>
  <c r="J97" i="8"/>
  <c r="J77" i="8"/>
  <c r="J1783" i="8"/>
  <c r="J1868" i="8"/>
  <c r="M1868" i="8" s="1"/>
  <c r="J1295" i="8"/>
  <c r="J1332" i="8"/>
  <c r="J735" i="8"/>
  <c r="J169" i="8"/>
  <c r="J1258" i="8"/>
  <c r="J1340" i="8"/>
  <c r="J1551" i="8"/>
  <c r="J1272" i="8"/>
  <c r="J903" i="8"/>
  <c r="J949" i="8"/>
  <c r="J1223" i="8"/>
  <c r="J799" i="8"/>
  <c r="J209" i="8"/>
  <c r="J819" i="8"/>
  <c r="I1635" i="8"/>
  <c r="I1633" i="8" s="1"/>
  <c r="J840" i="8"/>
  <c r="J1406" i="8"/>
  <c r="J196" i="8"/>
  <c r="J496" i="8"/>
  <c r="J1200" i="8"/>
  <c r="J444" i="8"/>
  <c r="J1148" i="8"/>
  <c r="J1636" i="8"/>
  <c r="J872" i="8"/>
  <c r="J1472" i="8"/>
  <c r="J1662" i="8"/>
  <c r="J1039" i="8"/>
  <c r="J410" i="8"/>
  <c r="J854" i="8"/>
  <c r="J1567" i="8"/>
  <c r="J1412" i="8"/>
  <c r="J718" i="8"/>
  <c r="J596" i="8"/>
  <c r="J616" i="8"/>
  <c r="H389" i="8"/>
  <c r="J923" i="8"/>
  <c r="J1030" i="8"/>
  <c r="J216" i="8"/>
  <c r="J146" i="8"/>
  <c r="J10" i="8"/>
  <c r="J128" i="8"/>
  <c r="J186" i="8"/>
  <c r="J1140" i="8"/>
  <c r="J189" i="8"/>
  <c r="J231" i="8"/>
  <c r="H1338" i="8"/>
  <c r="H1330" i="8"/>
  <c r="H1293" i="8"/>
  <c r="H809" i="8"/>
  <c r="H473" i="8"/>
  <c r="H1554" i="8"/>
  <c r="H1527" i="8"/>
  <c r="G404" i="8"/>
  <c r="G115" i="8" s="1"/>
  <c r="H1256" i="8"/>
  <c r="H815" i="8"/>
  <c r="H1036" i="8"/>
  <c r="H1171" i="8"/>
  <c r="H1409" i="8"/>
  <c r="H1088" i="8"/>
  <c r="H1221" i="8"/>
  <c r="H537" i="8"/>
  <c r="H408" i="8"/>
  <c r="H1661" i="8"/>
  <c r="H1196" i="8"/>
  <c r="H731" i="8"/>
  <c r="H1469" i="8"/>
  <c r="H215" i="8"/>
  <c r="G122" i="8"/>
  <c r="H900" i="8"/>
  <c r="H492" i="8"/>
  <c r="G121" i="8"/>
  <c r="H1655" i="8"/>
  <c r="H184" i="8"/>
  <c r="H1015" i="8"/>
  <c r="H1496" i="8"/>
  <c r="H1139" i="8"/>
  <c r="H208" i="8"/>
  <c r="G193" i="8"/>
  <c r="H403" i="8"/>
  <c r="G105" i="8"/>
  <c r="H1550" i="8"/>
  <c r="G322" i="8"/>
  <c r="H188" i="8"/>
  <c r="H186" i="8"/>
  <c r="G114" i="8"/>
  <c r="H124" i="8"/>
  <c r="M5" i="8" l="1"/>
  <c r="M126" i="8"/>
  <c r="M1783" i="8"/>
  <c r="M186" i="8"/>
  <c r="M169" i="8"/>
  <c r="M1030" i="8"/>
  <c r="M799" i="8"/>
  <c r="K690" i="8"/>
  <c r="M488" i="8"/>
  <c r="J1655" i="8"/>
  <c r="M1658" i="8"/>
  <c r="M1700" i="8"/>
  <c r="M1498" i="8"/>
  <c r="M1013" i="8"/>
  <c r="M146" i="8"/>
  <c r="M1523" i="8"/>
  <c r="M1636" i="8"/>
  <c r="M634" i="8"/>
  <c r="M1597" i="8"/>
  <c r="M1227" i="8"/>
  <c r="M1174" i="8"/>
  <c r="M854" i="8"/>
  <c r="M195" i="8"/>
  <c r="M1662" i="8"/>
  <c r="M477" i="8"/>
  <c r="M616" i="8"/>
  <c r="M1148" i="8"/>
  <c r="M949" i="8"/>
  <c r="M198" i="8"/>
  <c r="M280" i="8"/>
  <c r="M1595" i="8"/>
  <c r="M1567" i="8"/>
  <c r="M279" i="8"/>
  <c r="M1375" i="8"/>
  <c r="M1436" i="8"/>
  <c r="M1262" i="8"/>
  <c r="M348" i="8"/>
  <c r="M1632" i="8"/>
  <c r="M872" i="8"/>
  <c r="M231" i="8"/>
  <c r="M596" i="8"/>
  <c r="M444" i="8"/>
  <c r="J900" i="8"/>
  <c r="M1336" i="8"/>
  <c r="M1530" i="8"/>
  <c r="M1406" i="8"/>
  <c r="M840" i="8"/>
  <c r="M682" i="8"/>
  <c r="M1472" i="8"/>
  <c r="M923" i="8"/>
  <c r="M718" i="8"/>
  <c r="M1272" i="8"/>
  <c r="M167" i="8"/>
  <c r="M811" i="8"/>
  <c r="M1685" i="8"/>
  <c r="M1264" i="8"/>
  <c r="M1674" i="8"/>
  <c r="M1727" i="8"/>
  <c r="M1698" i="8"/>
  <c r="M1551" i="8"/>
  <c r="M1344" i="8"/>
  <c r="M1300" i="8"/>
  <c r="M1352" i="8"/>
  <c r="J1661" i="8"/>
  <c r="M10" i="8"/>
  <c r="M97" i="8"/>
  <c r="M47" i="8"/>
  <c r="M77" i="8"/>
  <c r="M36" i="8"/>
  <c r="M56" i="8"/>
  <c r="J1550" i="8"/>
  <c r="J1527" i="8"/>
  <c r="J1635" i="8"/>
  <c r="J1293" i="8"/>
  <c r="M1295" i="8"/>
  <c r="J1221" i="8"/>
  <c r="M1223" i="8"/>
  <c r="J1139" i="8"/>
  <c r="M1140" i="8"/>
  <c r="J1196" i="8"/>
  <c r="M1200" i="8"/>
  <c r="J1409" i="8"/>
  <c r="M1412" i="8"/>
  <c r="J1330" i="8"/>
  <c r="M1332" i="8"/>
  <c r="J1088" i="8"/>
  <c r="M1091" i="8"/>
  <c r="J1554" i="8"/>
  <c r="J1496" i="8"/>
  <c r="J1469" i="8"/>
  <c r="J1338" i="8"/>
  <c r="M1340" i="8"/>
  <c r="J1256" i="8"/>
  <c r="M1258" i="8"/>
  <c r="K403" i="8"/>
  <c r="J473" i="8"/>
  <c r="J1036" i="8"/>
  <c r="M1039" i="8"/>
  <c r="J1015" i="8"/>
  <c r="M1017" i="8"/>
  <c r="J809" i="8"/>
  <c r="J731" i="8"/>
  <c r="M735" i="8"/>
  <c r="J389" i="8"/>
  <c r="M390" i="8"/>
  <c r="J537" i="8"/>
  <c r="M541" i="8"/>
  <c r="J492" i="8"/>
  <c r="M496" i="8"/>
  <c r="J815" i="8"/>
  <c r="M819" i="8"/>
  <c r="M903" i="8"/>
  <c r="J408" i="8"/>
  <c r="M410" i="8"/>
  <c r="J124" i="8"/>
  <c r="M128" i="8"/>
  <c r="M196" i="8"/>
  <c r="J230" i="8"/>
  <c r="J184" i="8"/>
  <c r="M189" i="8"/>
  <c r="J215" i="8"/>
  <c r="M216" i="8"/>
  <c r="J208" i="8"/>
  <c r="M209" i="8"/>
  <c r="J1171" i="8"/>
  <c r="J403" i="8"/>
  <c r="N403" i="8" s="1"/>
  <c r="K378" i="8"/>
  <c r="K325" i="8"/>
  <c r="J188" i="8"/>
  <c r="H1525" i="8"/>
  <c r="H471" i="8"/>
  <c r="H535" i="8"/>
  <c r="H1467" i="8"/>
  <c r="H1194" i="8"/>
  <c r="H813" i="8"/>
  <c r="H183" i="8"/>
  <c r="H490" i="8"/>
  <c r="H898" i="8"/>
  <c r="H182" i="8"/>
  <c r="H729" i="8"/>
  <c r="H406" i="8"/>
  <c r="H1169" i="8"/>
  <c r="H1086" i="8"/>
  <c r="J1525" i="8" l="1"/>
  <c r="M215" i="8"/>
  <c r="M1550" i="8"/>
  <c r="M1409" i="8"/>
  <c r="M124" i="8"/>
  <c r="M1338" i="8"/>
  <c r="M1036" i="8"/>
  <c r="M1330" i="8"/>
  <c r="M1469" i="8"/>
  <c r="M389" i="8"/>
  <c r="M1171" i="8"/>
  <c r="M408" i="8"/>
  <c r="M809" i="8"/>
  <c r="M1496" i="8"/>
  <c r="M1139" i="8"/>
  <c r="M1293" i="8"/>
  <c r="M230" i="8"/>
  <c r="M1554" i="8"/>
  <c r="M1655" i="8"/>
  <c r="M1635" i="8"/>
  <c r="M1527" i="8"/>
  <c r="M1256" i="8"/>
  <c r="M208" i="8"/>
  <c r="M1015" i="8"/>
  <c r="M1221" i="8"/>
  <c r="M1525" i="8"/>
  <c r="J471" i="8"/>
  <c r="M184" i="8"/>
  <c r="M1661" i="8"/>
  <c r="K114" i="8"/>
  <c r="J183" i="8"/>
  <c r="J1086" i="8"/>
  <c r="M1088" i="8"/>
  <c r="M473" i="8"/>
  <c r="J1194" i="8"/>
  <c r="M1196" i="8"/>
  <c r="J1467" i="8"/>
  <c r="J406" i="8"/>
  <c r="J898" i="8"/>
  <c r="M900" i="8"/>
  <c r="J729" i="8"/>
  <c r="M731" i="8"/>
  <c r="J535" i="8"/>
  <c r="M537" i="8"/>
  <c r="M403" i="8"/>
  <c r="J813" i="8"/>
  <c r="M815" i="8"/>
  <c r="J490" i="8"/>
  <c r="M492" i="8"/>
  <c r="J182" i="8"/>
  <c r="M188" i="8"/>
  <c r="J1169" i="8"/>
  <c r="K322" i="8"/>
  <c r="K321" i="8"/>
  <c r="F1292" i="8"/>
  <c r="H1292" i="8" s="1"/>
  <c r="M471" i="8" l="1"/>
  <c r="M535" i="8"/>
  <c r="M183" i="8"/>
  <c r="M1194" i="8"/>
  <c r="M406" i="8"/>
  <c r="M813" i="8"/>
  <c r="M1086" i="8"/>
  <c r="M1169" i="8"/>
  <c r="M182" i="8"/>
  <c r="M1467" i="8"/>
  <c r="M490" i="8"/>
  <c r="M729" i="8"/>
  <c r="M898" i="8"/>
  <c r="J1292" i="8"/>
  <c r="F1010" i="8"/>
  <c r="H1010" i="8" s="1"/>
  <c r="M1292" i="8" l="1"/>
  <c r="J1010" i="8"/>
  <c r="F634" i="8"/>
  <c r="M1010" i="8" l="1"/>
  <c r="F541" i="8"/>
  <c r="F537" i="8" s="1"/>
  <c r="F535" i="8" s="1"/>
  <c r="F468" i="8" l="1"/>
  <c r="F467" i="8" l="1"/>
  <c r="F465" i="8" s="1"/>
  <c r="H468" i="8"/>
  <c r="F245" i="8"/>
  <c r="J468" i="8" l="1"/>
  <c r="H467" i="8"/>
  <c r="F243" i="8"/>
  <c r="F241" i="8" s="1"/>
  <c r="H245" i="8"/>
  <c r="F94" i="8"/>
  <c r="H94" i="8" s="1"/>
  <c r="M468" i="8" l="1"/>
  <c r="J94" i="8"/>
  <c r="J245" i="8"/>
  <c r="H465" i="8"/>
  <c r="H243" i="8"/>
  <c r="F994" i="8"/>
  <c r="H994" i="8" s="1"/>
  <c r="M94" i="8" l="1"/>
  <c r="J243" i="8"/>
  <c r="M245" i="8"/>
  <c r="J465" i="8"/>
  <c r="N465" i="8" s="1"/>
  <c r="M467" i="8"/>
  <c r="J994" i="8"/>
  <c r="H241" i="8"/>
  <c r="F884" i="8"/>
  <c r="H884" i="8" s="1"/>
  <c r="M465" i="8" l="1"/>
  <c r="M994" i="8"/>
  <c r="J241" i="8"/>
  <c r="M243" i="8"/>
  <c r="J884" i="8"/>
  <c r="F436" i="8"/>
  <c r="H436" i="8" s="1"/>
  <c r="M884" i="8" l="1"/>
  <c r="M241" i="8"/>
  <c r="J436" i="8"/>
  <c r="M436" i="8" l="1"/>
  <c r="F693" i="8"/>
  <c r="H693" i="8" s="1"/>
  <c r="J693" i="8" l="1"/>
  <c r="H692" i="8"/>
  <c r="F367" i="8"/>
  <c r="H367" i="8" s="1"/>
  <c r="J692" i="8" l="1"/>
  <c r="M693" i="8"/>
  <c r="J367" i="8"/>
  <c r="H690" i="8"/>
  <c r="H324" i="8"/>
  <c r="F95" i="8"/>
  <c r="H95" i="8" s="1"/>
  <c r="F692" i="8"/>
  <c r="F690" i="8" s="1"/>
  <c r="F1654" i="8"/>
  <c r="H1654" i="8" s="1"/>
  <c r="F1029" i="8"/>
  <c r="F1544" i="8"/>
  <c r="F1772" i="8"/>
  <c r="J324" i="8" l="1"/>
  <c r="M367" i="8"/>
  <c r="J690" i="8"/>
  <c r="M692" i="8"/>
  <c r="H1772" i="8"/>
  <c r="J1772" i="8" s="1"/>
  <c r="F1771" i="8"/>
  <c r="H114" i="8"/>
  <c r="J95" i="8"/>
  <c r="J1654" i="8"/>
  <c r="H1653" i="8"/>
  <c r="H93" i="8"/>
  <c r="F1542" i="8"/>
  <c r="F1540" i="8" s="1"/>
  <c r="H1544" i="8"/>
  <c r="F1730" i="8"/>
  <c r="F1727" i="8" s="1"/>
  <c r="F1685" i="8"/>
  <c r="F1678" i="8"/>
  <c r="F1674" i="8"/>
  <c r="F1588" i="8"/>
  <c r="M1772" i="8" l="1"/>
  <c r="M1654" i="8"/>
  <c r="M690" i="8"/>
  <c r="M95" i="8"/>
  <c r="J1653" i="8"/>
  <c r="J114" i="8"/>
  <c r="N114" i="8" s="1"/>
  <c r="M324" i="8"/>
  <c r="J93" i="8"/>
  <c r="H76" i="8"/>
  <c r="J1544" i="8"/>
  <c r="H1542" i="8"/>
  <c r="H1646" i="8"/>
  <c r="F1661" i="8"/>
  <c r="F173" i="8"/>
  <c r="H173" i="8" s="1"/>
  <c r="M1653" i="8" l="1"/>
  <c r="M1544" i="8"/>
  <c r="H1642" i="8"/>
  <c r="J1542" i="8"/>
  <c r="J1646" i="8"/>
  <c r="M114" i="8"/>
  <c r="J76" i="8"/>
  <c r="M93" i="8"/>
  <c r="H123" i="8"/>
  <c r="J173" i="8"/>
  <c r="H1540" i="8"/>
  <c r="H172" i="8"/>
  <c r="F135" i="8"/>
  <c r="H135" i="8" s="1"/>
  <c r="M1542" i="8" l="1"/>
  <c r="M1646" i="8"/>
  <c r="M76" i="8"/>
  <c r="J1540" i="8"/>
  <c r="J123" i="8"/>
  <c r="M173" i="8"/>
  <c r="J135" i="8"/>
  <c r="J172" i="8"/>
  <c r="F1653" i="8"/>
  <c r="F1599" i="8"/>
  <c r="F1597" i="8" s="1"/>
  <c r="F1576" i="8"/>
  <c r="F1550" i="8" s="1"/>
  <c r="F1570" i="8"/>
  <c r="F1567" i="8" s="1"/>
  <c r="M1540" i="8" l="1"/>
  <c r="M172" i="8"/>
  <c r="M123" i="8"/>
  <c r="M135" i="8"/>
  <c r="J1642" i="8"/>
  <c r="F1646" i="8"/>
  <c r="F1642" i="8" s="1"/>
  <c r="F1554" i="8"/>
  <c r="M1642" i="8" l="1"/>
  <c r="F198" i="8"/>
  <c r="F670" i="8" l="1"/>
  <c r="H670" i="8" s="1"/>
  <c r="F645" i="8"/>
  <c r="H645" i="8" s="1"/>
  <c r="F621" i="8"/>
  <c r="H621" i="8" s="1"/>
  <c r="F605" i="8"/>
  <c r="H605" i="8" s="1"/>
  <c r="J605" i="8" l="1"/>
  <c r="J621" i="8"/>
  <c r="J645" i="8"/>
  <c r="J670" i="8"/>
  <c r="F1412" i="8"/>
  <c r="F1409" i="8" s="1"/>
  <c r="M621" i="8" l="1"/>
  <c r="M670" i="8"/>
  <c r="M645" i="8"/>
  <c r="M605" i="8"/>
  <c r="H230" i="8"/>
  <c r="F390" i="8"/>
  <c r="F389" i="8" s="1"/>
  <c r="J228" i="8" l="1"/>
  <c r="J383" i="8"/>
  <c r="H228" i="8"/>
  <c r="H387" i="8"/>
  <c r="H383" i="8"/>
  <c r="F1352" i="8"/>
  <c r="M383" i="8" l="1"/>
  <c r="M228" i="8"/>
  <c r="J387" i="8"/>
  <c r="K383" i="8"/>
  <c r="K387" i="8"/>
  <c r="H384" i="8"/>
  <c r="F1340" i="8"/>
  <c r="F1338" i="8" s="1"/>
  <c r="F324" i="8"/>
  <c r="F208" i="8"/>
  <c r="F184" i="8"/>
  <c r="F123" i="8"/>
  <c r="F124" i="8"/>
  <c r="F126" i="8"/>
  <c r="K115" i="8" l="1"/>
  <c r="J384" i="8"/>
  <c r="M387" i="8"/>
  <c r="K384" i="8"/>
  <c r="F1498" i="8"/>
  <c r="F1496" i="8" s="1"/>
  <c r="M384" i="8" l="1"/>
  <c r="F1332" i="8"/>
  <c r="F1330" i="8" s="1"/>
  <c r="F1295" i="8" l="1"/>
  <c r="F1293" i="8" s="1"/>
  <c r="F1272" i="8" l="1"/>
  <c r="F1472" i="8"/>
  <c r="F1258" i="8" l="1"/>
  <c r="F1256" i="8" s="1"/>
  <c r="F1223" i="8" l="1"/>
  <c r="F1221" i="8" s="1"/>
  <c r="F1200" i="8" l="1"/>
  <c r="F1196" i="8" s="1"/>
  <c r="F1194" i="8" s="1"/>
  <c r="F1174" i="8" l="1"/>
  <c r="F1171" i="8" s="1"/>
  <c r="F1169" i="8" s="1"/>
  <c r="F1148" i="8" l="1"/>
  <c r="F1039" i="8" l="1"/>
  <c r="F949" i="8" l="1"/>
  <c r="F946" i="8" s="1"/>
  <c r="F872" i="8"/>
  <c r="F854" i="8" l="1"/>
  <c r="F840" i="8" l="1"/>
  <c r="F811" i="8" l="1"/>
  <c r="F809" i="8" s="1"/>
  <c r="F799" i="8"/>
  <c r="F702" i="8" l="1"/>
  <c r="H702" i="8" s="1"/>
  <c r="J702" i="8" l="1"/>
  <c r="H701" i="8"/>
  <c r="F682" i="8"/>
  <c r="J701" i="8" l="1"/>
  <c r="M702" i="8"/>
  <c r="H698" i="8"/>
  <c r="F616" i="8"/>
  <c r="J698" i="8" l="1"/>
  <c r="M701" i="8"/>
  <c r="H695" i="8"/>
  <c r="F496" i="8"/>
  <c r="F477" i="8"/>
  <c r="F473" i="8" s="1"/>
  <c r="F471" i="8" s="1"/>
  <c r="J695" i="8" l="1"/>
  <c r="M698" i="8"/>
  <c r="F492" i="8"/>
  <c r="F490" i="8" s="1"/>
  <c r="F410" i="8"/>
  <c r="M695" i="8" l="1"/>
  <c r="F408" i="8"/>
  <c r="F406" i="8" s="1"/>
  <c r="F186" i="8" l="1"/>
  <c r="F183" i="8" l="1"/>
  <c r="F172" i="8"/>
  <c r="F167" i="8"/>
  <c r="F146" i="8"/>
  <c r="F169" i="8"/>
  <c r="F133" i="8" l="1"/>
  <c r="F97" i="8"/>
  <c r="F77" i="8"/>
  <c r="F93" i="8"/>
  <c r="H133" i="8" l="1"/>
  <c r="F129" i="8"/>
  <c r="F76" i="8"/>
  <c r="F5" i="8" l="1"/>
  <c r="F10" i="8"/>
  <c r="M133" i="8" l="1"/>
  <c r="F8" i="8"/>
  <c r="H373" i="8" l="1"/>
  <c r="H374" i="8"/>
  <c r="H370" i="8"/>
  <c r="H376" i="8"/>
  <c r="H371" i="8"/>
  <c r="H377" i="8"/>
  <c r="J377" i="8" l="1"/>
  <c r="J376" i="8"/>
  <c r="J370" i="8"/>
  <c r="J374" i="8"/>
  <c r="J371" i="8"/>
  <c r="J373" i="8"/>
  <c r="H368" i="8"/>
  <c r="F368" i="8"/>
  <c r="F366" i="8" s="1"/>
  <c r="M373" i="8" l="1"/>
  <c r="M370" i="8"/>
  <c r="M374" i="8"/>
  <c r="M376" i="8"/>
  <c r="M371" i="8"/>
  <c r="M377" i="8"/>
  <c r="J368" i="8"/>
  <c r="H366" i="8"/>
  <c r="J366" i="8" l="1"/>
  <c r="M368" i="8"/>
  <c r="H1860" i="8"/>
  <c r="J1860" i="8" s="1"/>
  <c r="H1777" i="8"/>
  <c r="J1777" i="8" s="1"/>
  <c r="H137" i="8"/>
  <c r="H286" i="8"/>
  <c r="H346" i="8"/>
  <c r="H520" i="8"/>
  <c r="G1034" i="8"/>
  <c r="H1776" i="8"/>
  <c r="J1776" i="8" s="1"/>
  <c r="H290" i="8"/>
  <c r="F601" i="8"/>
  <c r="H1760" i="8"/>
  <c r="J1760" i="8" s="1"/>
  <c r="H666" i="8"/>
  <c r="H895" i="8"/>
  <c r="H292" i="8"/>
  <c r="H1782" i="8"/>
  <c r="J1782" i="8" s="1"/>
  <c r="H288" i="8"/>
  <c r="H361" i="8"/>
  <c r="H1833" i="8"/>
  <c r="J1833" i="8" s="1"/>
  <c r="H287" i="8"/>
  <c r="H337" i="8"/>
  <c r="H360" i="8"/>
  <c r="H1773" i="8"/>
  <c r="J1773" i="8" s="1"/>
  <c r="H332" i="8"/>
  <c r="H785" i="8"/>
  <c r="F1394" i="8"/>
  <c r="H660" i="8"/>
  <c r="H334" i="8"/>
  <c r="H1755" i="8"/>
  <c r="J1755" i="8" s="1"/>
  <c r="H521" i="8"/>
  <c r="H302" i="8"/>
  <c r="H333" i="8"/>
  <c r="H342" i="8"/>
  <c r="F891" i="8"/>
  <c r="F888" i="8" s="1"/>
  <c r="H1393" i="8"/>
  <c r="H1781" i="8"/>
  <c r="J1781" i="8" s="1"/>
  <c r="H1770" i="8"/>
  <c r="J1770" i="8" s="1"/>
  <c r="H519" i="8"/>
  <c r="H1780" i="8"/>
  <c r="J1780" i="8" s="1"/>
  <c r="H1859" i="8"/>
  <c r="J1859" i="8" s="1"/>
  <c r="F403" i="8"/>
  <c r="H1464" i="8"/>
  <c r="H1456" i="8"/>
  <c r="H1455" i="8"/>
  <c r="H1459" i="8"/>
  <c r="H1494" i="8"/>
  <c r="H1445" i="8"/>
  <c r="H928" i="8"/>
  <c r="H837" i="8"/>
  <c r="H871" i="8"/>
  <c r="H797" i="8"/>
  <c r="F819" i="8"/>
  <c r="H761" i="8"/>
  <c r="H754" i="8"/>
  <c r="H760" i="8"/>
  <c r="H759" i="8"/>
  <c r="H758" i="8"/>
  <c r="H766" i="8"/>
  <c r="H765" i="8"/>
  <c r="F718" i="8"/>
  <c r="F701" i="8"/>
  <c r="H533" i="8"/>
  <c r="F444" i="8"/>
  <c r="H442" i="8"/>
  <c r="H456" i="8"/>
  <c r="F188" i="8"/>
  <c r="F182" i="8" s="1"/>
  <c r="M1776" i="8" l="1"/>
  <c r="M1833" i="8"/>
  <c r="M1755" i="8"/>
  <c r="M1773" i="8"/>
  <c r="M1782" i="8"/>
  <c r="M1777" i="8"/>
  <c r="M1780" i="8"/>
  <c r="M1770" i="8"/>
  <c r="M1781" i="8"/>
  <c r="M1760" i="8"/>
  <c r="M366" i="8"/>
  <c r="H753" i="8"/>
  <c r="H1454" i="8"/>
  <c r="J666" i="8"/>
  <c r="J521" i="8"/>
  <c r="J1393" i="8"/>
  <c r="J785" i="8"/>
  <c r="J1455" i="8"/>
  <c r="J895" i="8"/>
  <c r="J520" i="8"/>
  <c r="J346" i="8"/>
  <c r="J292" i="8"/>
  <c r="J286" i="8"/>
  <c r="J334" i="8"/>
  <c r="J342" i="8"/>
  <c r="J360" i="8"/>
  <c r="J337" i="8"/>
  <c r="J290" i="8"/>
  <c r="J287" i="8"/>
  <c r="J332" i="8"/>
  <c r="J333" i="8"/>
  <c r="J288" i="8"/>
  <c r="J302" i="8"/>
  <c r="J137" i="8"/>
  <c r="I402" i="8"/>
  <c r="I711" i="8"/>
  <c r="I400" i="8" s="1"/>
  <c r="J759" i="8"/>
  <c r="J1459" i="8"/>
  <c r="J1494" i="8"/>
  <c r="J533" i="8"/>
  <c r="J754" i="8"/>
  <c r="J837" i="8"/>
  <c r="J1456" i="8"/>
  <c r="J761" i="8"/>
  <c r="J361" i="8"/>
  <c r="J1464" i="8"/>
  <c r="J1771" i="8"/>
  <c r="J797" i="8"/>
  <c r="J928" i="8"/>
  <c r="J871" i="8"/>
  <c r="J760" i="8"/>
  <c r="J456" i="8"/>
  <c r="J442" i="8"/>
  <c r="J765" i="8"/>
  <c r="J1445" i="8"/>
  <c r="J758" i="8"/>
  <c r="J766" i="8"/>
  <c r="J519" i="8"/>
  <c r="J660" i="8"/>
  <c r="F331" i="8"/>
  <c r="F116" i="8" s="1"/>
  <c r="H603" i="8"/>
  <c r="F347" i="8"/>
  <c r="F345" i="8" s="1"/>
  <c r="H1034" i="8"/>
  <c r="H1441" i="8"/>
  <c r="F1440" i="8"/>
  <c r="F1438" i="8" s="1"/>
  <c r="G1061" i="8"/>
  <c r="H1061" i="8" s="1"/>
  <c r="F323" i="8"/>
  <c r="H524" i="8"/>
  <c r="H836" i="8"/>
  <c r="H1398" i="8"/>
  <c r="H129" i="8"/>
  <c r="H1489" i="8"/>
  <c r="H892" i="8"/>
  <c r="H323" i="8"/>
  <c r="F886" i="8"/>
  <c r="H518" i="8"/>
  <c r="H331" i="8"/>
  <c r="H330" i="8" s="1"/>
  <c r="H1771" i="8"/>
  <c r="F295" i="8"/>
  <c r="F293" i="8" s="1"/>
  <c r="G1033" i="8"/>
  <c r="H285" i="8"/>
  <c r="F518" i="8"/>
  <c r="F515" i="8" s="1"/>
  <c r="G1113" i="8"/>
  <c r="F285" i="8"/>
  <c r="H347" i="8"/>
  <c r="H297" i="8"/>
  <c r="H222" i="8"/>
  <c r="F219" i="8"/>
  <c r="H443" i="8"/>
  <c r="G711" i="8"/>
  <c r="G400" i="8" s="1"/>
  <c r="G402" i="8"/>
  <c r="F114" i="8"/>
  <c r="H461" i="8"/>
  <c r="F1510" i="8"/>
  <c r="F1508" i="8" s="1"/>
  <c r="H534" i="8"/>
  <c r="H721" i="8"/>
  <c r="F776" i="8"/>
  <c r="F772" i="8" s="1"/>
  <c r="F770" i="8" s="1"/>
  <c r="H778" i="8"/>
  <c r="H878" i="8"/>
  <c r="H225" i="8"/>
  <c r="F1118" i="8"/>
  <c r="F1115" i="8" s="1"/>
  <c r="F1112" i="8" s="1"/>
  <c r="H1128" i="8"/>
  <c r="H223" i="8"/>
  <c r="H862" i="8"/>
  <c r="H1521" i="8"/>
  <c r="H689" i="8"/>
  <c r="H1430" i="8"/>
  <c r="F1009" i="8"/>
  <c r="F1007" i="8" s="1"/>
  <c r="H1012" i="8"/>
  <c r="F1586" i="8"/>
  <c r="F1575" i="8" s="1"/>
  <c r="H1587" i="8"/>
  <c r="H885" i="8"/>
  <c r="H863" i="8"/>
  <c r="H457" i="8"/>
  <c r="H685" i="8"/>
  <c r="F679" i="8"/>
  <c r="F677" i="8" s="1"/>
  <c r="H879" i="8"/>
  <c r="F1145" i="8"/>
  <c r="F1143" i="8" s="1"/>
  <c r="H1146" i="8"/>
  <c r="F995" i="8"/>
  <c r="H997" i="8"/>
  <c r="H464" i="8"/>
  <c r="H662" i="8"/>
  <c r="H686" i="8"/>
  <c r="H877" i="8"/>
  <c r="F1348" i="8"/>
  <c r="F1346" i="8" s="1"/>
  <c r="H1367" i="8"/>
  <c r="F402" i="8"/>
  <c r="H712" i="8"/>
  <c r="H935" i="8"/>
  <c r="H806" i="8"/>
  <c r="F1001" i="8"/>
  <c r="F1000" i="8" s="1"/>
  <c r="F998" i="8" s="1"/>
  <c r="H1006" i="8"/>
  <c r="F180" i="8"/>
  <c r="F174" i="8" s="1"/>
  <c r="H181" i="8"/>
  <c r="F524" i="8"/>
  <c r="F522" i="8" s="1"/>
  <c r="F440" i="8"/>
  <c r="F438" i="8" s="1"/>
  <c r="F1489" i="8"/>
  <c r="F1487" i="8" s="1"/>
  <c r="F1425" i="8"/>
  <c r="F1422" i="8" s="1"/>
  <c r="F850" i="8"/>
  <c r="F848" i="8" s="1"/>
  <c r="F714" i="8"/>
  <c r="F711" i="8" s="1"/>
  <c r="F383" i="8"/>
  <c r="F387" i="8"/>
  <c r="F1390" i="8"/>
  <c r="F1387" i="8" s="1"/>
  <c r="F1454" i="8"/>
  <c r="F1453" i="8" s="1"/>
  <c r="F1451" i="8" s="1"/>
  <c r="F178" i="8"/>
  <c r="F1469" i="8"/>
  <c r="F1467" i="8" s="1"/>
  <c r="F1017" i="8"/>
  <c r="F1015" i="8" s="1"/>
  <c r="F868" i="8"/>
  <c r="F866" i="8" s="1"/>
  <c r="F927" i="8"/>
  <c r="F815" i="8"/>
  <c r="F813" i="8" s="1"/>
  <c r="F795" i="8"/>
  <c r="F793" i="8" s="1"/>
  <c r="F735" i="8"/>
  <c r="F659" i="8"/>
  <c r="F127" i="8"/>
  <c r="J129" i="8" l="1"/>
  <c r="J347" i="8"/>
  <c r="M1771" i="8"/>
  <c r="M290" i="8"/>
  <c r="M760" i="8"/>
  <c r="M1494" i="8"/>
  <c r="M337" i="8"/>
  <c r="M521" i="8"/>
  <c r="M766" i="8"/>
  <c r="M1456" i="8"/>
  <c r="M765" i="8"/>
  <c r="M287" i="8"/>
  <c r="M456" i="8"/>
  <c r="M1393" i="8"/>
  <c r="M871" i="8"/>
  <c r="M1459" i="8"/>
  <c r="M360" i="8"/>
  <c r="M666" i="8"/>
  <c r="M361" i="8"/>
  <c r="M761" i="8"/>
  <c r="M333" i="8"/>
  <c r="M332" i="8"/>
  <c r="M785" i="8"/>
  <c r="J524" i="8"/>
  <c r="M928" i="8"/>
  <c r="M759" i="8"/>
  <c r="M342" i="8"/>
  <c r="M288" i="8"/>
  <c r="M1445" i="8"/>
  <c r="M1455" i="8"/>
  <c r="F281" i="8"/>
  <c r="F278" i="8" s="1"/>
  <c r="M797" i="8"/>
  <c r="M334" i="8"/>
  <c r="M758" i="8"/>
  <c r="M895" i="8"/>
  <c r="M754" i="8"/>
  <c r="M660" i="8"/>
  <c r="M286" i="8"/>
  <c r="M302" i="8"/>
  <c r="M520" i="8"/>
  <c r="M519" i="8"/>
  <c r="M1464" i="8"/>
  <c r="M292" i="8"/>
  <c r="J1489" i="8"/>
  <c r="M442" i="8"/>
  <c r="J323" i="8"/>
  <c r="M346" i="8"/>
  <c r="J836" i="8"/>
  <c r="M837" i="8"/>
  <c r="M533" i="8"/>
  <c r="J331" i="8"/>
  <c r="M137" i="8"/>
  <c r="F283" i="8"/>
  <c r="F277" i="8" s="1"/>
  <c r="J518" i="8"/>
  <c r="J1454" i="8"/>
  <c r="J662" i="8"/>
  <c r="J1441" i="8"/>
  <c r="H601" i="8"/>
  <c r="J1006" i="8"/>
  <c r="J285" i="8"/>
  <c r="F330" i="8"/>
  <c r="F327" i="8" s="1"/>
  <c r="G1060" i="8"/>
  <c r="J181" i="8"/>
  <c r="J885" i="8"/>
  <c r="J1510" i="8"/>
  <c r="I1034" i="8"/>
  <c r="J464" i="8"/>
  <c r="J1587" i="8"/>
  <c r="J223" i="8"/>
  <c r="J461" i="8"/>
  <c r="J877" i="8"/>
  <c r="J997" i="8"/>
  <c r="J1128" i="8"/>
  <c r="J1521" i="8"/>
  <c r="J534" i="8"/>
  <c r="J862" i="8"/>
  <c r="J806" i="8"/>
  <c r="J1012" i="8"/>
  <c r="J297" i="8"/>
  <c r="J685" i="8"/>
  <c r="J686" i="8"/>
  <c r="J935" i="8"/>
  <c r="J1398" i="8"/>
  <c r="J1146" i="8"/>
  <c r="J1430" i="8"/>
  <c r="J225" i="8"/>
  <c r="J443" i="8"/>
  <c r="J603" i="8"/>
  <c r="J457" i="8"/>
  <c r="J892" i="8"/>
  <c r="J689" i="8"/>
  <c r="J878" i="8"/>
  <c r="I1061" i="8"/>
  <c r="I401" i="8"/>
  <c r="J721" i="8"/>
  <c r="J863" i="8"/>
  <c r="J1367" i="8"/>
  <c r="J879" i="8"/>
  <c r="J778" i="8"/>
  <c r="J222" i="8"/>
  <c r="J753" i="8"/>
  <c r="J712" i="8"/>
  <c r="M712" i="8" s="1"/>
  <c r="H1033" i="8"/>
  <c r="G1029" i="8"/>
  <c r="G1028" i="8" s="1"/>
  <c r="H1440" i="8"/>
  <c r="H116" i="8"/>
  <c r="H659" i="8"/>
  <c r="H1453" i="8"/>
  <c r="H295" i="8"/>
  <c r="H345" i="8"/>
  <c r="H1487" i="8"/>
  <c r="H714" i="8"/>
  <c r="H522" i="8"/>
  <c r="H891" i="8"/>
  <c r="H1001" i="8"/>
  <c r="H1394" i="8"/>
  <c r="H776" i="8"/>
  <c r="H1586" i="8"/>
  <c r="H1510" i="8"/>
  <c r="H795" i="8"/>
  <c r="H995" i="8"/>
  <c r="H1118" i="8"/>
  <c r="H515" i="8"/>
  <c r="H127" i="8"/>
  <c r="H834" i="8"/>
  <c r="H927" i="8"/>
  <c r="H1009" i="8"/>
  <c r="H749" i="8"/>
  <c r="H1145" i="8"/>
  <c r="H1425" i="8"/>
  <c r="H1348" i="8"/>
  <c r="H283" i="8"/>
  <c r="G1112" i="8"/>
  <c r="H1113" i="8"/>
  <c r="H440" i="8"/>
  <c r="H868" i="8"/>
  <c r="H327" i="8"/>
  <c r="H402" i="8"/>
  <c r="G401" i="8"/>
  <c r="H178" i="8"/>
  <c r="H180" i="8"/>
  <c r="F113" i="8"/>
  <c r="H679" i="8"/>
  <c r="F384" i="8"/>
  <c r="H850" i="8"/>
  <c r="H221" i="8"/>
  <c r="F175" i="8"/>
  <c r="F731" i="8"/>
  <c r="F729" i="8" s="1"/>
  <c r="F655" i="8"/>
  <c r="F653" i="8" s="1"/>
  <c r="J1453" i="8" l="1"/>
  <c r="J405" i="8"/>
  <c r="M685" i="8"/>
  <c r="M1441" i="8"/>
  <c r="M323" i="8"/>
  <c r="M1454" i="8"/>
  <c r="M1510" i="8"/>
  <c r="M879" i="8"/>
  <c r="M225" i="8"/>
  <c r="M1521" i="8"/>
  <c r="M181" i="8"/>
  <c r="M223" i="8"/>
  <c r="M885" i="8"/>
  <c r="M1430" i="8"/>
  <c r="M129" i="8"/>
  <c r="M443" i="8"/>
  <c r="M863" i="8"/>
  <c r="M878" i="8"/>
  <c r="M862" i="8"/>
  <c r="M877" i="8"/>
  <c r="M1587" i="8"/>
  <c r="M464" i="8"/>
  <c r="M524" i="8"/>
  <c r="M689" i="8"/>
  <c r="M457" i="8"/>
  <c r="M222" i="8"/>
  <c r="M1489" i="8"/>
  <c r="M686" i="8"/>
  <c r="M461" i="8"/>
  <c r="M331" i="8"/>
  <c r="J330" i="8"/>
  <c r="M285" i="8"/>
  <c r="J1145" i="8"/>
  <c r="M1146" i="8"/>
  <c r="J1348" i="8"/>
  <c r="M1367" i="8"/>
  <c r="J1425" i="8"/>
  <c r="J1118" i="8"/>
  <c r="M1128" i="8"/>
  <c r="J1440" i="8"/>
  <c r="J1394" i="8"/>
  <c r="M1398" i="8"/>
  <c r="J1586" i="8"/>
  <c r="J1487" i="8"/>
  <c r="J440" i="8"/>
  <c r="J515" i="8"/>
  <c r="M518" i="8"/>
  <c r="J749" i="8"/>
  <c r="M753" i="8"/>
  <c r="J795" i="8"/>
  <c r="M806" i="8"/>
  <c r="J1001" i="8"/>
  <c r="M1006" i="8"/>
  <c r="J776" i="8"/>
  <c r="M778" i="8"/>
  <c r="J522" i="8"/>
  <c r="M534" i="8"/>
  <c r="J1009" i="8"/>
  <c r="M1012" i="8"/>
  <c r="J601" i="8"/>
  <c r="M603" i="8"/>
  <c r="J995" i="8"/>
  <c r="M997" i="8"/>
  <c r="J714" i="8"/>
  <c r="M721" i="8"/>
  <c r="J659" i="8"/>
  <c r="M662" i="8"/>
  <c r="J927" i="8"/>
  <c r="M935" i="8"/>
  <c r="J891" i="8"/>
  <c r="M892" i="8"/>
  <c r="J834" i="8"/>
  <c r="M836" i="8"/>
  <c r="J345" i="8"/>
  <c r="M347" i="8"/>
  <c r="J295" i="8"/>
  <c r="M297" i="8"/>
  <c r="J127" i="8"/>
  <c r="J283" i="8"/>
  <c r="H281" i="8"/>
  <c r="H278" i="8" s="1"/>
  <c r="I1060" i="8"/>
  <c r="J402" i="8"/>
  <c r="K712" i="8"/>
  <c r="J221" i="8"/>
  <c r="G113" i="8"/>
  <c r="G112" i="8" s="1"/>
  <c r="G118" i="8" s="1"/>
  <c r="J868" i="8"/>
  <c r="J1034" i="8"/>
  <c r="I1033" i="8"/>
  <c r="J1061" i="8"/>
  <c r="J1508" i="8"/>
  <c r="J679" i="8"/>
  <c r="I1113" i="8"/>
  <c r="J850" i="8"/>
  <c r="J180" i="8"/>
  <c r="J178" i="8"/>
  <c r="H772" i="8"/>
  <c r="G1027" i="8"/>
  <c r="G111" i="8" s="1"/>
  <c r="H888" i="8"/>
  <c r="H293" i="8"/>
  <c r="H1508" i="8"/>
  <c r="H1029" i="8"/>
  <c r="H113" i="8" s="1"/>
  <c r="H711" i="8"/>
  <c r="H1143" i="8"/>
  <c r="H924" i="8"/>
  <c r="H1115" i="8"/>
  <c r="H1451" i="8"/>
  <c r="H1438" i="8"/>
  <c r="H1000" i="8"/>
  <c r="H1390" i="8"/>
  <c r="H1346" i="8"/>
  <c r="H793" i="8"/>
  <c r="H1007" i="8"/>
  <c r="H677" i="8"/>
  <c r="H866" i="8"/>
  <c r="H438" i="8"/>
  <c r="H747" i="8"/>
  <c r="H848" i="8"/>
  <c r="H174" i="8"/>
  <c r="H1422" i="8"/>
  <c r="H219" i="8"/>
  <c r="H175" i="8"/>
  <c r="H655" i="8"/>
  <c r="H1575" i="8"/>
  <c r="J116" i="8" l="1"/>
  <c r="K402" i="8"/>
  <c r="M405" i="8"/>
  <c r="M995" i="8"/>
  <c r="M522" i="8"/>
  <c r="M345" i="8"/>
  <c r="M402" i="8"/>
  <c r="M834" i="8"/>
  <c r="M1425" i="8"/>
  <c r="M1487" i="8"/>
  <c r="M1586" i="8"/>
  <c r="M659" i="8"/>
  <c r="M714" i="8"/>
  <c r="M1440" i="8"/>
  <c r="M127" i="8"/>
  <c r="J281" i="8"/>
  <c r="M330" i="8"/>
  <c r="M515" i="8"/>
  <c r="M1453" i="8"/>
  <c r="M1508" i="8"/>
  <c r="M283" i="8"/>
  <c r="J327" i="8"/>
  <c r="J1575" i="8"/>
  <c r="K1061" i="8"/>
  <c r="M1061" i="8"/>
  <c r="J1438" i="8"/>
  <c r="J1390" i="8"/>
  <c r="M1394" i="8"/>
  <c r="J1115" i="8"/>
  <c r="M1118" i="8"/>
  <c r="J1143" i="8"/>
  <c r="M1145" i="8"/>
  <c r="J1422" i="8"/>
  <c r="J1506" i="8"/>
  <c r="J1451" i="8"/>
  <c r="J1346" i="8"/>
  <c r="M1348" i="8"/>
  <c r="J655" i="8"/>
  <c r="M601" i="8"/>
  <c r="J924" i="8"/>
  <c r="M927" i="8"/>
  <c r="J772" i="8"/>
  <c r="M776" i="8"/>
  <c r="J438" i="8"/>
  <c r="M440" i="8"/>
  <c r="J293" i="8"/>
  <c r="M295" i="8"/>
  <c r="J677" i="8"/>
  <c r="M679" i="8"/>
  <c r="J1000" i="8"/>
  <c r="M1001" i="8"/>
  <c r="J278" i="8"/>
  <c r="M281" i="8"/>
  <c r="J793" i="8"/>
  <c r="M795" i="8"/>
  <c r="J848" i="8"/>
  <c r="M850" i="8"/>
  <c r="J711" i="8"/>
  <c r="M711" i="8" s="1"/>
  <c r="J747" i="8"/>
  <c r="M749" i="8"/>
  <c r="K1034" i="8"/>
  <c r="M1034" i="8"/>
  <c r="J888" i="8"/>
  <c r="M891" i="8"/>
  <c r="J866" i="8"/>
  <c r="M868" i="8"/>
  <c r="J1007" i="8"/>
  <c r="M1009" i="8"/>
  <c r="J219" i="8"/>
  <c r="M221" i="8"/>
  <c r="J175" i="8"/>
  <c r="N175" i="8" s="1"/>
  <c r="M178" i="8"/>
  <c r="J174" i="8"/>
  <c r="N174" i="8" s="1"/>
  <c r="M180" i="8"/>
  <c r="K711" i="8"/>
  <c r="J1113" i="8"/>
  <c r="I1112" i="8"/>
  <c r="I1027" i="8" s="1"/>
  <c r="I111" i="8" s="1"/>
  <c r="I1029" i="8"/>
  <c r="I113" i="8" s="1"/>
  <c r="I112" i="8" s="1"/>
  <c r="J1033" i="8"/>
  <c r="M1033" i="8" s="1"/>
  <c r="G1735" i="8"/>
  <c r="G1736" i="8" s="1"/>
  <c r="G1863" i="8" s="1"/>
  <c r="H1506" i="8"/>
  <c r="H277" i="8"/>
  <c r="H1112" i="8"/>
  <c r="H1387" i="8"/>
  <c r="H770" i="8"/>
  <c r="H998" i="8"/>
  <c r="H653" i="8"/>
  <c r="H886" i="8"/>
  <c r="H922" i="8"/>
  <c r="M116" i="8" l="1"/>
  <c r="M1422" i="8"/>
  <c r="M438" i="8"/>
  <c r="M1007" i="8"/>
  <c r="M793" i="8"/>
  <c r="M278" i="8"/>
  <c r="M866" i="8"/>
  <c r="M655" i="8"/>
  <c r="M1438" i="8"/>
  <c r="M174" i="8"/>
  <c r="M677" i="8"/>
  <c r="M1346" i="8"/>
  <c r="M1115" i="8"/>
  <c r="M175" i="8"/>
  <c r="M747" i="8"/>
  <c r="M1451" i="8"/>
  <c r="M1575" i="8"/>
  <c r="M219" i="8"/>
  <c r="M848" i="8"/>
  <c r="M1143" i="8"/>
  <c r="J277" i="8"/>
  <c r="M1506" i="8"/>
  <c r="M327" i="8"/>
  <c r="K400" i="8"/>
  <c r="K1060" i="8"/>
  <c r="J653" i="8"/>
  <c r="J1112" i="8"/>
  <c r="M1112" i="8" s="1"/>
  <c r="M1113" i="8"/>
  <c r="J1387" i="8"/>
  <c r="M1390" i="8"/>
  <c r="K1033" i="8"/>
  <c r="M293" i="8"/>
  <c r="J770" i="8"/>
  <c r="M772" i="8"/>
  <c r="J886" i="8"/>
  <c r="M888" i="8"/>
  <c r="J998" i="8"/>
  <c r="M1000" i="8"/>
  <c r="J922" i="8"/>
  <c r="M924" i="8"/>
  <c r="J1029" i="8"/>
  <c r="K1113" i="8"/>
  <c r="K401" i="8"/>
  <c r="I1735" i="8"/>
  <c r="I1736" i="8" s="1"/>
  <c r="I1863" i="8" s="1"/>
  <c r="I1028" i="8"/>
  <c r="I118" i="8"/>
  <c r="M277" i="8" l="1"/>
  <c r="M1387" i="8"/>
  <c r="M922" i="8"/>
  <c r="M653" i="8"/>
  <c r="M998" i="8"/>
  <c r="M886" i="8"/>
  <c r="M770" i="8"/>
  <c r="J113" i="8"/>
  <c r="M1029" i="8"/>
  <c r="K1112" i="8"/>
  <c r="K1029" i="8"/>
  <c r="F836" i="8"/>
  <c r="F834" i="8" s="1"/>
  <c r="F1506" i="8"/>
  <c r="F749" i="8"/>
  <c r="F747" i="8" s="1"/>
  <c r="K113" i="8" l="1"/>
  <c r="M113" i="8"/>
  <c r="K1028" i="8"/>
  <c r="K1027" i="8"/>
  <c r="H1074" i="8"/>
  <c r="K112" i="8" l="1"/>
  <c r="K118" i="8" s="1"/>
  <c r="K111" i="8"/>
  <c r="K1735" i="8"/>
  <c r="J1074" i="8"/>
  <c r="H1076" i="8"/>
  <c r="F1066" i="8"/>
  <c r="F1063" i="8" s="1"/>
  <c r="F1060" i="8" s="1"/>
  <c r="M1074" i="8" l="1"/>
  <c r="K1736" i="8"/>
  <c r="J1076" i="8"/>
  <c r="H1066" i="8"/>
  <c r="K1863" i="8" l="1"/>
  <c r="J1066" i="8"/>
  <c r="M1076" i="8"/>
  <c r="H1063" i="8"/>
  <c r="H632" i="8"/>
  <c r="H1623" i="8"/>
  <c r="H1722" i="8"/>
  <c r="H615" i="8"/>
  <c r="K1871" i="8" l="1"/>
  <c r="J1063" i="8"/>
  <c r="M1066" i="8"/>
  <c r="J1623" i="8"/>
  <c r="J632" i="8"/>
  <c r="J615" i="8"/>
  <c r="J1722" i="8"/>
  <c r="H1613" i="8"/>
  <c r="H1060" i="8"/>
  <c r="F341" i="8"/>
  <c r="F340" i="8" s="1"/>
  <c r="H633" i="8"/>
  <c r="H627" i="8"/>
  <c r="H1628" i="8"/>
  <c r="H1629" i="8"/>
  <c r="F597" i="8"/>
  <c r="F595" i="8" s="1"/>
  <c r="H607" i="8"/>
  <c r="H1723" i="8"/>
  <c r="H652" i="8"/>
  <c r="F630" i="8"/>
  <c r="F628" i="8" s="1"/>
  <c r="F1613" i="8"/>
  <c r="F1610" i="8" s="1"/>
  <c r="F613" i="8"/>
  <c r="F611" i="8" s="1"/>
  <c r="M632" i="8" l="1"/>
  <c r="M1623" i="8"/>
  <c r="M1722" i="8"/>
  <c r="J1613" i="8"/>
  <c r="M1063" i="8"/>
  <c r="J1060" i="8"/>
  <c r="M615" i="8"/>
  <c r="J1628" i="8"/>
  <c r="J627" i="8"/>
  <c r="J633" i="8"/>
  <c r="J1629" i="8"/>
  <c r="J652" i="8"/>
  <c r="J1723" i="8"/>
  <c r="J607" i="8"/>
  <c r="F339" i="8"/>
  <c r="F321" i="8" s="1"/>
  <c r="F325" i="8"/>
  <c r="F322" i="8" s="1"/>
  <c r="H343" i="8"/>
  <c r="H597" i="8"/>
  <c r="H1610" i="8"/>
  <c r="H1713" i="8"/>
  <c r="H613" i="8"/>
  <c r="F1552" i="8"/>
  <c r="F1549" i="8" s="1"/>
  <c r="H434" i="8"/>
  <c r="H433" i="8"/>
  <c r="H432" i="8"/>
  <c r="H983" i="8"/>
  <c r="H431" i="8"/>
  <c r="F141" i="8"/>
  <c r="F125" i="8" s="1"/>
  <c r="F566" i="8"/>
  <c r="F562" i="8" s="1"/>
  <c r="F560" i="8" s="1"/>
  <c r="H575" i="8"/>
  <c r="H630" i="8"/>
  <c r="F1607" i="8"/>
  <c r="F1548" i="8" s="1"/>
  <c r="H263" i="8"/>
  <c r="H1306" i="8"/>
  <c r="M1060" i="8" l="1"/>
  <c r="M652" i="8"/>
  <c r="M1723" i="8"/>
  <c r="M1629" i="8"/>
  <c r="M633" i="8"/>
  <c r="M1613" i="8"/>
  <c r="M627" i="8"/>
  <c r="M1628" i="8"/>
  <c r="M607" i="8"/>
  <c r="J597" i="8"/>
  <c r="J613" i="8"/>
  <c r="J1713" i="8"/>
  <c r="J433" i="8"/>
  <c r="J983" i="8"/>
  <c r="J432" i="8"/>
  <c r="J434" i="8"/>
  <c r="J431" i="8"/>
  <c r="J1306" i="8"/>
  <c r="J630" i="8"/>
  <c r="J263" i="8"/>
  <c r="J575" i="8"/>
  <c r="J1610" i="8"/>
  <c r="J343" i="8"/>
  <c r="H1607" i="8"/>
  <c r="H341" i="8"/>
  <c r="H1552" i="8"/>
  <c r="H1711" i="8"/>
  <c r="H628" i="8"/>
  <c r="H566" i="8"/>
  <c r="H611" i="8"/>
  <c r="H595" i="8"/>
  <c r="F122" i="8"/>
  <c r="F138" i="8"/>
  <c r="F121" i="8" s="1"/>
  <c r="H157" i="8"/>
  <c r="F429" i="8"/>
  <c r="F427" i="8" s="1"/>
  <c r="H1309" i="8"/>
  <c r="H275" i="8"/>
  <c r="F1268" i="8"/>
  <c r="F1266" i="8" s="1"/>
  <c r="H1291" i="8"/>
  <c r="H1324" i="8"/>
  <c r="H267" i="8"/>
  <c r="H1326" i="8"/>
  <c r="H273" i="8"/>
  <c r="F257" i="8"/>
  <c r="F252" i="8" s="1"/>
  <c r="F250" i="8" s="1"/>
  <c r="F1091" i="8"/>
  <c r="F1088" i="8" s="1"/>
  <c r="F1086" i="8" s="1"/>
  <c r="F1036" i="8"/>
  <c r="F924" i="8"/>
  <c r="F922" i="8" s="1"/>
  <c r="M434" i="8" l="1"/>
  <c r="M433" i="8"/>
  <c r="M983" i="8"/>
  <c r="M263" i="8"/>
  <c r="M1610" i="8"/>
  <c r="M1306" i="8"/>
  <c r="M432" i="8"/>
  <c r="M1713" i="8"/>
  <c r="M431" i="8"/>
  <c r="J1552" i="8"/>
  <c r="J1711" i="8"/>
  <c r="J341" i="8"/>
  <c r="M343" i="8"/>
  <c r="J566" i="8"/>
  <c r="M575" i="8"/>
  <c r="J628" i="8"/>
  <c r="M630" i="8"/>
  <c r="J595" i="8"/>
  <c r="M597" i="8"/>
  <c r="J611" i="8"/>
  <c r="M613" i="8"/>
  <c r="J1309" i="8"/>
  <c r="H1549" i="8"/>
  <c r="J267" i="8"/>
  <c r="J1607" i="8"/>
  <c r="J275" i="8"/>
  <c r="J157" i="8"/>
  <c r="J273" i="8"/>
  <c r="J1326" i="8"/>
  <c r="J1324" i="8"/>
  <c r="J1291" i="8"/>
  <c r="H340" i="8"/>
  <c r="H1308" i="8"/>
  <c r="H257" i="8"/>
  <c r="H141" i="8"/>
  <c r="H430" i="8"/>
  <c r="H562" i="8"/>
  <c r="H1268" i="8"/>
  <c r="H1548" i="8"/>
  <c r="F1308" i="8"/>
  <c r="F1304" i="8" s="1"/>
  <c r="F1302" i="8" s="1"/>
  <c r="F974" i="8"/>
  <c r="F971" i="8" s="1"/>
  <c r="F969" i="8" s="1"/>
  <c r="H975" i="8"/>
  <c r="F1033" i="8"/>
  <c r="J1549" i="8" l="1"/>
  <c r="M1552" i="8"/>
  <c r="M1711" i="8"/>
  <c r="M611" i="8"/>
  <c r="M275" i="8"/>
  <c r="M1324" i="8"/>
  <c r="M1326" i="8"/>
  <c r="M595" i="8"/>
  <c r="J1548" i="8"/>
  <c r="M1607" i="8"/>
  <c r="M273" i="8"/>
  <c r="M628" i="8"/>
  <c r="J1268" i="8"/>
  <c r="M1291" i="8"/>
  <c r="J1308" i="8"/>
  <c r="M1309" i="8"/>
  <c r="J257" i="8"/>
  <c r="M267" i="8"/>
  <c r="J562" i="8"/>
  <c r="M566" i="8"/>
  <c r="J340" i="8"/>
  <c r="M341" i="8"/>
  <c r="J141" i="8"/>
  <c r="M157" i="8"/>
  <c r="H252" i="8"/>
  <c r="H250" i="8" s="1"/>
  <c r="H138" i="8"/>
  <c r="J975" i="8"/>
  <c r="H339" i="8"/>
  <c r="H325" i="8"/>
  <c r="J430" i="8"/>
  <c r="H974" i="8"/>
  <c r="H1304" i="8"/>
  <c r="H125" i="8"/>
  <c r="H1266" i="8"/>
  <c r="H560" i="8"/>
  <c r="H429" i="8"/>
  <c r="M1549" i="8" l="1"/>
  <c r="J1304" i="8"/>
  <c r="M1548" i="8"/>
  <c r="M257" i="8"/>
  <c r="J974" i="8"/>
  <c r="M1308" i="8"/>
  <c r="M141" i="8"/>
  <c r="J1302" i="8"/>
  <c r="M1304" i="8"/>
  <c r="J1266" i="8"/>
  <c r="M1268" i="8"/>
  <c r="J252" i="8"/>
  <c r="J429" i="8"/>
  <c r="M430" i="8"/>
  <c r="M340" i="8"/>
  <c r="J325" i="8"/>
  <c r="J339" i="8"/>
  <c r="J560" i="8"/>
  <c r="M562" i="8"/>
  <c r="M975" i="8"/>
  <c r="J125" i="8"/>
  <c r="J138" i="8"/>
  <c r="H321" i="8"/>
  <c r="H322" i="8"/>
  <c r="H1302" i="8"/>
  <c r="H121" i="8"/>
  <c r="H122" i="8"/>
  <c r="H427" i="8"/>
  <c r="H971" i="8"/>
  <c r="M252" i="8" l="1"/>
  <c r="J971" i="8"/>
  <c r="M560" i="8"/>
  <c r="M1302" i="8"/>
  <c r="M429" i="8"/>
  <c r="M1266" i="8"/>
  <c r="J250" i="8"/>
  <c r="J427" i="8"/>
  <c r="M974" i="8"/>
  <c r="M325" i="8"/>
  <c r="J322" i="8"/>
  <c r="J321" i="8"/>
  <c r="M339" i="8"/>
  <c r="J121" i="8"/>
  <c r="M138" i="8"/>
  <c r="J122" i="8"/>
  <c r="M125" i="8"/>
  <c r="H969" i="8"/>
  <c r="H1748" i="8"/>
  <c r="J1748" i="8" s="1"/>
  <c r="H1749" i="8"/>
  <c r="J1749" i="8" s="1"/>
  <c r="H1745" i="8"/>
  <c r="J1745" i="8" s="1"/>
  <c r="H1744" i="8"/>
  <c r="J1744" i="8" s="1"/>
  <c r="H1743" i="8"/>
  <c r="J1743" i="8" s="1"/>
  <c r="F1868" i="8"/>
  <c r="H962" i="8"/>
  <c r="M1743" i="8" l="1"/>
  <c r="M1744" i="8"/>
  <c r="M1745" i="8"/>
  <c r="M1749" i="8"/>
  <c r="M1748" i="8"/>
  <c r="M122" i="8"/>
  <c r="M321" i="8"/>
  <c r="M427" i="8"/>
  <c r="M250" i="8"/>
  <c r="M121" i="8"/>
  <c r="M322" i="8"/>
  <c r="J969" i="8"/>
  <c r="M971" i="8"/>
  <c r="J962" i="8"/>
  <c r="H968" i="8"/>
  <c r="H1255" i="8"/>
  <c r="F1235" i="8"/>
  <c r="F1231" i="8" s="1"/>
  <c r="H1244" i="8"/>
  <c r="F944" i="8"/>
  <c r="F903" i="8"/>
  <c r="F900" i="8" s="1"/>
  <c r="F898" i="8" s="1"/>
  <c r="F698" i="8"/>
  <c r="F695" i="8" s="1"/>
  <c r="M962" i="8" l="1"/>
  <c r="M969" i="8"/>
  <c r="H946" i="8"/>
  <c r="J1244" i="8"/>
  <c r="J1255" i="8"/>
  <c r="J968" i="8"/>
  <c r="H1235" i="8"/>
  <c r="H72" i="8"/>
  <c r="H8" i="8" s="1"/>
  <c r="F1229" i="8"/>
  <c r="F1027" i="8" s="1"/>
  <c r="F1031" i="8"/>
  <c r="F1028" i="8" s="1"/>
  <c r="F1741" i="8"/>
  <c r="H1742" i="8"/>
  <c r="F404" i="8"/>
  <c r="M1255" i="8" l="1"/>
  <c r="J1235" i="8"/>
  <c r="M1244" i="8"/>
  <c r="J946" i="8"/>
  <c r="M968" i="8"/>
  <c r="J1231" i="8"/>
  <c r="J72" i="8"/>
  <c r="H1231" i="8"/>
  <c r="J404" i="8"/>
  <c r="N404" i="8" s="1"/>
  <c r="H1741" i="8"/>
  <c r="J1742" i="8"/>
  <c r="H404" i="8"/>
  <c r="H944" i="8"/>
  <c r="H1802" i="8"/>
  <c r="J1802" i="8" s="1"/>
  <c r="H1811" i="8"/>
  <c r="J1811" i="8" s="1"/>
  <c r="H1795" i="8"/>
  <c r="J1795" i="8" s="1"/>
  <c r="H1796" i="8"/>
  <c r="J1796" i="8" s="1"/>
  <c r="H1817" i="8"/>
  <c r="J1817" i="8" s="1"/>
  <c r="H1793" i="8"/>
  <c r="J1793" i="8" s="1"/>
  <c r="H1809" i="8"/>
  <c r="J1809" i="8" s="1"/>
  <c r="H1808" i="8"/>
  <c r="J1808" i="8" s="1"/>
  <c r="H1791" i="8"/>
  <c r="J1791" i="8" s="1"/>
  <c r="H1824" i="8"/>
  <c r="J1824" i="8" s="1"/>
  <c r="H1823" i="8"/>
  <c r="J1823" i="8" s="1"/>
  <c r="H1821" i="8"/>
  <c r="J1821" i="8" s="1"/>
  <c r="H1812" i="8"/>
  <c r="J1812" i="8" s="1"/>
  <c r="F401" i="8"/>
  <c r="F400" i="8"/>
  <c r="J944" i="8" l="1"/>
  <c r="J1741" i="8"/>
  <c r="M1742" i="8"/>
  <c r="M1791" i="8"/>
  <c r="M1793" i="8"/>
  <c r="M1796" i="8"/>
  <c r="M1795" i="8"/>
  <c r="M1811" i="8"/>
  <c r="M1812" i="8"/>
  <c r="M1802" i="8"/>
  <c r="M1824" i="8"/>
  <c r="M1808" i="8"/>
  <c r="M1809" i="8"/>
  <c r="M1821" i="8"/>
  <c r="M1817" i="8"/>
  <c r="M1823" i="8"/>
  <c r="M946" i="8"/>
  <c r="M1231" i="8"/>
  <c r="J1031" i="8"/>
  <c r="M1235" i="8"/>
  <c r="M72" i="8"/>
  <c r="M404" i="8"/>
  <c r="J400" i="8"/>
  <c r="N400" i="8" s="1"/>
  <c r="J1229" i="8"/>
  <c r="J8" i="8"/>
  <c r="H1229" i="8"/>
  <c r="H1031" i="8"/>
  <c r="H401" i="8"/>
  <c r="J401" i="8"/>
  <c r="N401" i="8" s="1"/>
  <c r="J1785" i="8"/>
  <c r="H400" i="8"/>
  <c r="H105" i="8"/>
  <c r="H1785" i="8"/>
  <c r="F1785" i="8"/>
  <c r="F1862" i="8" s="1"/>
  <c r="M944" i="8" l="1"/>
  <c r="M1741" i="8"/>
  <c r="M1785" i="8"/>
  <c r="M1229" i="8"/>
  <c r="M1031" i="8"/>
  <c r="M401" i="8"/>
  <c r="M400" i="8"/>
  <c r="J1027" i="8"/>
  <c r="J105" i="8"/>
  <c r="M8" i="8"/>
  <c r="J1028" i="8"/>
  <c r="H1027" i="8"/>
  <c r="H1028" i="8"/>
  <c r="J1862" i="8"/>
  <c r="H1862" i="8"/>
  <c r="F105" i="8"/>
  <c r="M1862" i="8" l="1"/>
  <c r="M105" i="8"/>
  <c r="M1028" i="8"/>
  <c r="M1027" i="8"/>
  <c r="H205" i="8" l="1"/>
  <c r="F201" i="8"/>
  <c r="J205" i="8" l="1"/>
  <c r="F197" i="8"/>
  <c r="F115" i="8" s="1"/>
  <c r="F199" i="8"/>
  <c r="F193" i="8" s="1"/>
  <c r="F111" i="8" s="1"/>
  <c r="H201" i="8"/>
  <c r="J201" i="8" l="1"/>
  <c r="M205" i="8"/>
  <c r="F1735" i="8"/>
  <c r="F1736" i="8" s="1"/>
  <c r="F194" i="8"/>
  <c r="F112" i="8"/>
  <c r="F118" i="8" s="1"/>
  <c r="H197" i="8"/>
  <c r="H199" i="8"/>
  <c r="M201" i="8" l="1"/>
  <c r="J197" i="8"/>
  <c r="J199" i="8"/>
  <c r="F1863" i="8"/>
  <c r="F1737" i="8"/>
  <c r="H115" i="8"/>
  <c r="H193" i="8"/>
  <c r="H194" i="8"/>
  <c r="J194" i="8" l="1"/>
  <c r="J115" i="8"/>
  <c r="N115" i="8" s="1"/>
  <c r="J193" i="8"/>
  <c r="M197" i="8"/>
  <c r="M199" i="8"/>
  <c r="H112" i="8"/>
  <c r="H111" i="8"/>
  <c r="H1735" i="8"/>
  <c r="M194" i="8" l="1"/>
  <c r="M193" i="8"/>
  <c r="J112" i="8"/>
  <c r="N112" i="8" s="1"/>
  <c r="M115" i="8"/>
  <c r="J1735" i="8"/>
  <c r="N1735" i="8" s="1"/>
  <c r="J111" i="8"/>
  <c r="N111" i="8" s="1"/>
  <c r="H118" i="8"/>
  <c r="H119" i="8"/>
  <c r="H1736" i="8"/>
  <c r="J118" i="8" l="1"/>
  <c r="M112" i="8"/>
  <c r="J1736" i="8"/>
  <c r="M111" i="8"/>
  <c r="M118" i="8"/>
  <c r="J119" i="8"/>
  <c r="M1736" i="8"/>
  <c r="M1735" i="8"/>
  <c r="H1863" i="8"/>
  <c r="H1871" i="8" s="1"/>
  <c r="M119" i="8" l="1"/>
  <c r="N119" i="8"/>
  <c r="N1737" i="8"/>
  <c r="N1736" i="8"/>
  <c r="J1863" i="8"/>
  <c r="M1863" i="8" l="1"/>
  <c r="N1863" i="8"/>
  <c r="J1871" i="8"/>
</calcChain>
</file>

<file path=xl/sharedStrings.xml><?xml version="1.0" encoding="utf-8"?>
<sst xmlns="http://schemas.openxmlformats.org/spreadsheetml/2006/main" count="2516" uniqueCount="1003">
  <si>
    <t>TARTU VALLA 2024. AASTA EELARVE PROJEKT</t>
  </si>
  <si>
    <t>I</t>
  </si>
  <si>
    <t>PÕHITEGEVUSE TULUD:</t>
  </si>
  <si>
    <t>klassi-</t>
  </si>
  <si>
    <t>fikaator</t>
  </si>
  <si>
    <t>Tulude nimetus</t>
  </si>
  <si>
    <t>2021EA lõplik</t>
  </si>
  <si>
    <t>2022EA lõplik</t>
  </si>
  <si>
    <t>2023EA projekt</t>
  </si>
  <si>
    <t>2023EA 2.lugemise muutused</t>
  </si>
  <si>
    <t xml:space="preserve">2023EA </t>
  </si>
  <si>
    <t>2023EA 1.LisaEA</t>
  </si>
  <si>
    <t>2023EA +1.lisa</t>
  </si>
  <si>
    <t>täitm 30.09.23.</t>
  </si>
  <si>
    <t>2024EA projekt</t>
  </si>
  <si>
    <t>võrdlus 2023EA +1.lisa</t>
  </si>
  <si>
    <t>EA võrdlus summaline</t>
  </si>
  <si>
    <t xml:space="preserve">30              </t>
  </si>
  <si>
    <t xml:space="preserve"> MAKSUTULUD</t>
  </si>
  <si>
    <t xml:space="preserve">3000            </t>
  </si>
  <si>
    <t xml:space="preserve"> Füüsilise isiku tulumaks</t>
  </si>
  <si>
    <t xml:space="preserve">3030            </t>
  </si>
  <si>
    <t xml:space="preserve"> Maamaks</t>
  </si>
  <si>
    <t xml:space="preserve">32              </t>
  </si>
  <si>
    <t xml:space="preserve"> KAUPADE JA TEENUSTE  MÜÜK</t>
  </si>
  <si>
    <t xml:space="preserve">320             </t>
  </si>
  <si>
    <t xml:space="preserve"> Riigilõivud</t>
  </si>
  <si>
    <t xml:space="preserve">3220            </t>
  </si>
  <si>
    <t>Tulud haridusalasest tegevusest</t>
  </si>
  <si>
    <t>322001</t>
  </si>
  <si>
    <r>
      <t xml:space="preserve"> *Tartu Valla Muusika ja huvikooli kohamaks - </t>
    </r>
    <r>
      <rPr>
        <sz val="8"/>
        <rFont val="Tahoma"/>
        <family val="2"/>
        <charset val="186"/>
      </rPr>
      <t xml:space="preserve">teised OV-d </t>
    </r>
  </si>
  <si>
    <t>322002</t>
  </si>
  <si>
    <r>
      <t xml:space="preserve"> *Tartu Valla muusikakooli õppemaks -lapsevanem </t>
    </r>
    <r>
      <rPr>
        <sz val="10"/>
        <color rgb="FFFF0000"/>
        <rFont val="Tahoma"/>
        <family val="2"/>
        <charset val="186"/>
      </rPr>
      <t>45,00eu</t>
    </r>
    <r>
      <rPr>
        <sz val="10"/>
        <rFont val="Tahoma"/>
        <family val="2"/>
        <charset val="186"/>
      </rPr>
      <t>r kuu</t>
    </r>
  </si>
  <si>
    <t>322003</t>
  </si>
  <si>
    <t xml:space="preserve"> *Tabivere Huvikooli õppemaks-lapsevanem pill 45+ülej 15eur</t>
  </si>
  <si>
    <t>322004</t>
  </si>
  <si>
    <t xml:space="preserve"> *koolikohamaks teised OV-d</t>
  </si>
  <si>
    <t>322005</t>
  </si>
  <si>
    <t xml:space="preserve"> *lastaiakohamaks teised OV-d</t>
  </si>
  <si>
    <t>322006</t>
  </si>
  <si>
    <t xml:space="preserve"> *üür - Lähte ÜG õpilaskodu muu majutus (suvised laagrid)</t>
  </si>
  <si>
    <r>
      <t xml:space="preserve"> *üür - Lähte ÜG õpilaskodu (õpilased)</t>
    </r>
    <r>
      <rPr>
        <sz val="10"/>
        <color rgb="FFFF0000"/>
        <rFont val="Tahoma"/>
        <family val="2"/>
        <charset val="186"/>
      </rPr>
      <t xml:space="preserve"> 30eu</t>
    </r>
    <r>
      <rPr>
        <sz val="10"/>
        <rFont val="Tahoma"/>
        <family val="2"/>
        <charset val="186"/>
      </rPr>
      <t>r kuu</t>
    </r>
  </si>
  <si>
    <t>322007</t>
  </si>
  <si>
    <t>0911002</t>
  </si>
  <si>
    <r>
      <t xml:space="preserve"> *toiduraha Lähte LA-lapsevanem</t>
    </r>
    <r>
      <rPr>
        <sz val="10"/>
        <color rgb="FFFF0000"/>
        <rFont val="Tahoma"/>
        <family val="2"/>
        <charset val="186"/>
      </rPr>
      <t>kõik päev=2,0</t>
    </r>
  </si>
  <si>
    <t>0911001</t>
  </si>
  <si>
    <t xml:space="preserve"> *toiduraha Kõrveküla LA+Raadi LH-lapsevanem</t>
  </si>
  <si>
    <t>0911006</t>
  </si>
  <si>
    <t xml:space="preserve"> *toiduraha Ripsik+Nupsik-lapsevanem</t>
  </si>
  <si>
    <t>0911007</t>
  </si>
  <si>
    <t xml:space="preserve"> *toiduraha Laeva-lapsevanem</t>
  </si>
  <si>
    <t>0911008</t>
  </si>
  <si>
    <t xml:space="preserve"> *toiduraha Tabivere LA-lapsevanem</t>
  </si>
  <si>
    <t>0911009</t>
  </si>
  <si>
    <t xml:space="preserve"> *toiduraha Maarja LA-lapsevanem</t>
  </si>
  <si>
    <t>322008</t>
  </si>
  <si>
    <r>
      <t xml:space="preserve"> *õppemaks Lähte LA  </t>
    </r>
    <r>
      <rPr>
        <sz val="10"/>
        <color rgb="FFFF0000"/>
        <rFont val="Tahoma"/>
        <family val="2"/>
        <charset val="186"/>
      </rPr>
      <t>kõik LA=65,6kuus</t>
    </r>
  </si>
  <si>
    <t xml:space="preserve"> *õppemaks Kõrveküla LA+Raadi LH</t>
  </si>
  <si>
    <t xml:space="preserve"> *õppemaks Ripsik</t>
  </si>
  <si>
    <t xml:space="preserve"> *õppemaks Laeva</t>
  </si>
  <si>
    <t xml:space="preserve"> *õppemaks Tabivere Lasteaed</t>
  </si>
  <si>
    <t xml:space="preserve">  *õppemaks Maarja</t>
  </si>
  <si>
    <t>322009</t>
  </si>
  <si>
    <t xml:space="preserve"> *töövihikud</t>
  </si>
  <si>
    <t>322010</t>
  </si>
  <si>
    <t xml:space="preserve"> *muud tulud (toitlustamine)</t>
  </si>
  <si>
    <t>322011</t>
  </si>
  <si>
    <t xml:space="preserve"> *muud tulud haridusalasest tegevusest</t>
  </si>
  <si>
    <t>322012</t>
  </si>
  <si>
    <t xml:space="preserve"> *laagri osalustasu</t>
  </si>
  <si>
    <t>322017</t>
  </si>
  <si>
    <t xml:space="preserve"> *õpilasmalev</t>
  </si>
  <si>
    <t xml:space="preserve">3221            </t>
  </si>
  <si>
    <t>Tulud kultuurialasest tegevusest</t>
  </si>
  <si>
    <t>322 101</t>
  </si>
  <si>
    <t xml:space="preserve"> *Laeva kutuurimaja</t>
  </si>
  <si>
    <t>322 102</t>
  </si>
  <si>
    <t xml:space="preserve"> *Maarja-Magdaleena rahvamaja</t>
  </si>
  <si>
    <t>322 103</t>
  </si>
  <si>
    <t xml:space="preserve"> *Tabivere rahvamaja</t>
  </si>
  <si>
    <t xml:space="preserve"> *Tammistu külakeskus</t>
  </si>
  <si>
    <r>
      <t xml:space="preserve"> *muud tulud-ülevallaline kultuur</t>
    </r>
    <r>
      <rPr>
        <sz val="8"/>
        <rFont val="Tahoma"/>
        <family val="2"/>
        <charset val="186"/>
      </rPr>
      <t>(Jaanitule toitlustajate osamaksud)</t>
    </r>
  </si>
  <si>
    <t>* Laeva ANK</t>
  </si>
  <si>
    <t>* Lähte ANK</t>
  </si>
  <si>
    <t>*Tabivere ANK</t>
  </si>
  <si>
    <t>* Maarja magdaleena ANK</t>
  </si>
  <si>
    <t>* markide müük raamatukogudes</t>
  </si>
  <si>
    <t>Tulud spordialasest tegevusest</t>
  </si>
  <si>
    <t>322 21</t>
  </si>
  <si>
    <t xml:space="preserve"> * Laeva spordihoone-renditulud</t>
  </si>
  <si>
    <t>322 22</t>
  </si>
  <si>
    <t xml:space="preserve"> * Kõrveküla SPH - renditulud-Pärsik</t>
  </si>
  <si>
    <t>322 23</t>
  </si>
  <si>
    <t xml:space="preserve"> * Lähte SPH - renditulud</t>
  </si>
  <si>
    <t>322 27</t>
  </si>
  <si>
    <t xml:space="preserve"> * Kõrveküla kooli SH-renditulud</t>
  </si>
  <si>
    <t>322 28</t>
  </si>
  <si>
    <t xml:space="preserve"> * Tabivere SH-renditulud</t>
  </si>
  <si>
    <t>322 24</t>
  </si>
  <si>
    <t xml:space="preserve"> * spordikooli õppemaks - lapsevanem   </t>
  </si>
  <si>
    <t>322 25</t>
  </si>
  <si>
    <t xml:space="preserve"> * spordikooli kohamaks - teised OV-d        </t>
  </si>
  <si>
    <t>322 26</t>
  </si>
  <si>
    <t>* muu tulud (Spordikool laagrid)</t>
  </si>
  <si>
    <t>Tulud sotsiaalasut.maj.tegevusest</t>
  </si>
  <si>
    <t xml:space="preserve"> *hooldekodu</t>
  </si>
  <si>
    <t>3224 04</t>
  </si>
  <si>
    <t xml:space="preserve">  *Päevakeskuse tulu (riik) SKA</t>
  </si>
  <si>
    <t>3224 05</t>
  </si>
  <si>
    <t xml:space="preserve"> *Päevakeskuse muu tulu (Starmani kasutus, ravimid, omatoodete müük)</t>
  </si>
  <si>
    <t>3224 06</t>
  </si>
  <si>
    <t xml:space="preserve">  *Majutusteenused sotsiaalkorterites-omaosalus</t>
  </si>
  <si>
    <t>3224 07</t>
  </si>
  <si>
    <t xml:space="preserve"> *Toetatud elamise teenus (riik) SKA</t>
  </si>
  <si>
    <t>3224 08</t>
  </si>
  <si>
    <t xml:space="preserve"> *Töötamise toetamine (riik) SKA</t>
  </si>
  <si>
    <t>3224 09</t>
  </si>
  <si>
    <t xml:space="preserve"> *Pikaajaline kaitstud töö (riik) stipendium+pearaha SKA</t>
  </si>
  <si>
    <t xml:space="preserve"> *Pikaajaline kaitstud töö omatulu</t>
  </si>
  <si>
    <t>3224 11</t>
  </si>
  <si>
    <t>* Eluasemeteenused UKR üürit</t>
  </si>
  <si>
    <t>3224 13</t>
  </si>
  <si>
    <t>* muud tulud (Elasterikaste perede Liit)</t>
  </si>
  <si>
    <t>3224 14</t>
  </si>
  <si>
    <t xml:space="preserve">  *koduhooldusteenus UUS</t>
  </si>
  <si>
    <t xml:space="preserve">3225            </t>
  </si>
  <si>
    <r>
      <t>Tulud elamu-kommunaal tegevusest</t>
    </r>
    <r>
      <rPr>
        <sz val="10"/>
        <rFont val="Tahoma"/>
        <family val="2"/>
        <charset val="186"/>
      </rPr>
      <t xml:space="preserve"> </t>
    </r>
    <r>
      <rPr>
        <sz val="8"/>
        <rFont val="Tahoma"/>
        <family val="2"/>
        <charset val="186"/>
      </rPr>
      <t>( valla korterite omatulu)</t>
    </r>
  </si>
  <si>
    <t>3229</t>
  </si>
  <si>
    <r>
      <t xml:space="preserve">Tulud üldvalitsemisest </t>
    </r>
    <r>
      <rPr>
        <b/>
        <sz val="8"/>
        <rFont val="Tahoma"/>
        <family val="2"/>
        <charset val="186"/>
      </rPr>
      <t>(</t>
    </r>
    <r>
      <rPr>
        <sz val="8"/>
        <rFont val="Tahoma"/>
        <family val="2"/>
        <charset val="186"/>
      </rPr>
      <t>erisood.hüvitis JR= 220,75eur kuus+hoonest.õig tasud)</t>
    </r>
  </si>
  <si>
    <t>3230</t>
  </si>
  <si>
    <t>Tulu trasporditeenustelt</t>
  </si>
  <si>
    <t xml:space="preserve">3233            </t>
  </si>
  <si>
    <r>
      <t>Üüri- ja renditulud</t>
    </r>
    <r>
      <rPr>
        <sz val="8"/>
        <rFont val="Tahoma"/>
        <family val="2"/>
        <charset val="186"/>
      </rPr>
      <t xml:space="preserve"> (väike-ettev+perearst rendid+kommunaalid</t>
    </r>
    <r>
      <rPr>
        <b/>
        <sz val="10"/>
        <rFont val="Tahoma"/>
        <family val="2"/>
        <charset val="186"/>
      </rPr>
      <t>)</t>
    </r>
  </si>
  <si>
    <t xml:space="preserve">3237            </t>
  </si>
  <si>
    <r>
      <t xml:space="preserve">Tulud õiguste müügist </t>
    </r>
    <r>
      <rPr>
        <sz val="8"/>
        <rFont val="Tahoma"/>
        <family val="2"/>
        <charset val="186"/>
      </rPr>
      <t>(Juhus)</t>
    </r>
  </si>
  <si>
    <t xml:space="preserve">3238            </t>
  </si>
  <si>
    <r>
      <t>Muu toodete ja teenuste müük</t>
    </r>
    <r>
      <rPr>
        <sz val="8"/>
        <rFont val="Tahoma"/>
        <family val="2"/>
        <charset val="186"/>
      </rPr>
      <t xml:space="preserve"> </t>
    </r>
  </si>
  <si>
    <t>SAADAVAD TOETUSED TEG:KULUDEKS</t>
  </si>
  <si>
    <t>Toetused tegevuskuludeks</t>
  </si>
  <si>
    <t>35000002</t>
  </si>
  <si>
    <t>Haridusmin</t>
  </si>
  <si>
    <t>35000005</t>
  </si>
  <si>
    <t>Kliimaministeerium</t>
  </si>
  <si>
    <t>Kaitseministeerium</t>
  </si>
  <si>
    <t xml:space="preserve">35000006        </t>
  </si>
  <si>
    <t>Kultuuriministeerium</t>
  </si>
  <si>
    <t>35000007</t>
  </si>
  <si>
    <t>Majandus ja Kom. Min</t>
  </si>
  <si>
    <t>35000008</t>
  </si>
  <si>
    <t>Maaeluministeerium</t>
  </si>
  <si>
    <t xml:space="preserve">35000009        </t>
  </si>
  <si>
    <t>Rahandusministeerium</t>
  </si>
  <si>
    <t>Rahandusministeerium URBACT</t>
  </si>
  <si>
    <t>Siseministeerium</t>
  </si>
  <si>
    <t>35000011</t>
  </si>
  <si>
    <r>
      <t>Sotsiaalministeerium (</t>
    </r>
    <r>
      <rPr>
        <sz val="10"/>
        <color rgb="FFFF0000"/>
        <rFont val="Tahoma"/>
        <family val="2"/>
        <charset val="186"/>
      </rPr>
      <t xml:space="preserve"> muutus lisaEA )</t>
    </r>
  </si>
  <si>
    <t>350002</t>
  </si>
  <si>
    <t>val.sektor (kulka+töötukassa jne)</t>
  </si>
  <si>
    <t xml:space="preserve">350003          </t>
  </si>
  <si>
    <t>valitsussektori SA, MTÜ (treenerite töötasu) EAS, KIK, Innove</t>
  </si>
  <si>
    <t>350003</t>
  </si>
  <si>
    <t xml:space="preserve">muud sa </t>
  </si>
  <si>
    <t>35008</t>
  </si>
  <si>
    <t>muudelt residentidelt</t>
  </si>
  <si>
    <t>35509</t>
  </si>
  <si>
    <t>mitteresidentidelt</t>
  </si>
  <si>
    <t xml:space="preserve">352             </t>
  </si>
  <si>
    <t xml:space="preserve"> Mittesihtotstarbelised toetused= tas+toetusfond</t>
  </si>
  <si>
    <t>tasandusfond (lg 1)</t>
  </si>
  <si>
    <t>toetusfond (lg 2)</t>
  </si>
  <si>
    <t>352100</t>
  </si>
  <si>
    <r>
      <t>tegevustoetused</t>
    </r>
    <r>
      <rPr>
        <sz val="8"/>
        <rFont val="Tahoma"/>
        <family val="2"/>
        <charset val="186"/>
      </rPr>
      <t xml:space="preserve"> (maakonnaRK+Maarja ÕK+HMotset +Kultmin+Hmin allasut)</t>
    </r>
  </si>
  <si>
    <t xml:space="preserve">38              </t>
  </si>
  <si>
    <t>MUUD TEGEVUSTULUD</t>
  </si>
  <si>
    <t>38250</t>
  </si>
  <si>
    <t>Üleriigilisetähtsusega maardlate kaevandamisõiguse tasu</t>
  </si>
  <si>
    <t>38251</t>
  </si>
  <si>
    <t xml:space="preserve">Kohaliku tähtsusega maardlate kaevand.õiguse tasu </t>
  </si>
  <si>
    <t xml:space="preserve">382520          </t>
  </si>
  <si>
    <t xml:space="preserve"> Laekumine vee erikasutusest RT maardlad</t>
  </si>
  <si>
    <t xml:space="preserve">382540          </t>
  </si>
  <si>
    <t>vee erikasutus</t>
  </si>
  <si>
    <t>38256</t>
  </si>
  <si>
    <t>Kalapüügiõiguse tasu</t>
  </si>
  <si>
    <t>3880</t>
  </si>
  <si>
    <t>TRAHVID</t>
  </si>
  <si>
    <t>3888</t>
  </si>
  <si>
    <t>Muud tulud</t>
  </si>
  <si>
    <t>I osa</t>
  </si>
  <si>
    <t>PÕHITEGEVUSE TULUD KOKKU</t>
  </si>
  <si>
    <t>II</t>
  </si>
  <si>
    <t>PÕHITEGEVUSE KULUD</t>
  </si>
  <si>
    <t>kokku kulud</t>
  </si>
  <si>
    <t>kokku toetused</t>
  </si>
  <si>
    <t>kokku personalikulud</t>
  </si>
  <si>
    <t>kokku majandamiskulud</t>
  </si>
  <si>
    <t>kokku muud</t>
  </si>
  <si>
    <t>Põhitegevuse tulem</t>
  </si>
  <si>
    <t>kulu</t>
  </si>
  <si>
    <t>liik</t>
  </si>
  <si>
    <t>tulemi suhe tuludesse</t>
  </si>
  <si>
    <t xml:space="preserve">01              </t>
  </si>
  <si>
    <t xml:space="preserve"> ÜLDISED VALITSUSSEKTORI TEENUSED</t>
  </si>
  <si>
    <t>kokku 01 valitsussektori kulud</t>
  </si>
  <si>
    <t>kokku 01 antud toetused</t>
  </si>
  <si>
    <t>kokku 01 personalikulud</t>
  </si>
  <si>
    <t>kokku 01 majandamiskulud</t>
  </si>
  <si>
    <t>kokku 01 muud</t>
  </si>
  <si>
    <t xml:space="preserve">01111           </t>
  </si>
  <si>
    <t xml:space="preserve"> Valla- ja linnavolikogu</t>
  </si>
  <si>
    <t xml:space="preserve">50              </t>
  </si>
  <si>
    <t xml:space="preserve">    Personalikulud (koos maksudega)</t>
  </si>
  <si>
    <t xml:space="preserve">55              </t>
  </si>
  <si>
    <t xml:space="preserve">    Majandamiskulud</t>
  </si>
  <si>
    <t xml:space="preserve">5500            </t>
  </si>
  <si>
    <t xml:space="preserve">    Administreerimiskulud (esindus, vastuvõtt)</t>
  </si>
  <si>
    <t xml:space="preserve">    Lähetuskulud</t>
  </si>
  <si>
    <t xml:space="preserve">5504            </t>
  </si>
  <si>
    <t xml:space="preserve">    Koolituskulud, üritused</t>
  </si>
  <si>
    <t xml:space="preserve">    Kinnistute, hoonete ja ruumide majand.kulud kokku </t>
  </si>
  <si>
    <t xml:space="preserve">  - üür ja rent</t>
  </si>
  <si>
    <t xml:space="preserve">    Info- ja kommunikats.kulud ning  hooldus</t>
  </si>
  <si>
    <t xml:space="preserve">   Inventar</t>
  </si>
  <si>
    <t xml:space="preserve">    Muud majandamiskulud</t>
  </si>
  <si>
    <t xml:space="preserve">01112           </t>
  </si>
  <si>
    <t xml:space="preserve"> Valla- ja linnavalitsus</t>
  </si>
  <si>
    <t xml:space="preserve">    Sihtotstarbelised eraldised</t>
  </si>
  <si>
    <t xml:space="preserve">    Administreerimiskulud </t>
  </si>
  <si>
    <t xml:space="preserve">    Uurimis- ja arendustööde ostukulud</t>
  </si>
  <si>
    <t xml:space="preserve">5503            </t>
  </si>
  <si>
    <t xml:space="preserve">    Koolituskulud</t>
  </si>
  <si>
    <t xml:space="preserve">5511            </t>
  </si>
  <si>
    <t>00</t>
  </si>
  <si>
    <t xml:space="preserve"> * küte- ja soojusenergia</t>
  </si>
  <si>
    <t>01</t>
  </si>
  <si>
    <t xml:space="preserve"> * elekter</t>
  </si>
  <si>
    <t>02</t>
  </si>
  <si>
    <t xml:space="preserve"> * vesi - ja kanalisatsioon</t>
  </si>
  <si>
    <t>03</t>
  </si>
  <si>
    <t xml:space="preserve"> * korrashoiumaterjalid, lisaseadm. ja tarvikud</t>
  </si>
  <si>
    <t>04</t>
  </si>
  <si>
    <t xml:space="preserve"> * korrashoiuteenus</t>
  </si>
  <si>
    <t>05</t>
  </si>
  <si>
    <t>* valveteenused</t>
  </si>
  <si>
    <t>06</t>
  </si>
  <si>
    <t xml:space="preserve"> * remonditeenus</t>
  </si>
  <si>
    <t>07</t>
  </si>
  <si>
    <t>* kindlustusmaksed</t>
  </si>
  <si>
    <t>08</t>
  </si>
  <si>
    <t>* üür ja rent</t>
  </si>
  <si>
    <t>09</t>
  </si>
  <si>
    <t>* muud kulud+haldusteenus SA Raadi</t>
  </si>
  <si>
    <t xml:space="preserve">   Rajatiste majandamiskulud  </t>
  </si>
  <si>
    <t xml:space="preserve">5513            </t>
  </si>
  <si>
    <t xml:space="preserve">    Sõidukite ülapidamiskulud</t>
  </si>
  <si>
    <t xml:space="preserve">5514            </t>
  </si>
  <si>
    <t xml:space="preserve">5515            </t>
  </si>
  <si>
    <t xml:space="preserve">    Inventari kulud ja hooldus</t>
  </si>
  <si>
    <t xml:space="preserve">5516            </t>
  </si>
  <si>
    <t xml:space="preserve">    Masinate ja seadmete ülalp.kulud (katlamajad)</t>
  </si>
  <si>
    <t xml:space="preserve">   toiduained ja toitlustusteenused</t>
  </si>
  <si>
    <t xml:space="preserve">5522            </t>
  </si>
  <si>
    <t xml:space="preserve">    Meditsiinikulud ja hügieenitarbed</t>
  </si>
  <si>
    <t xml:space="preserve">5525            </t>
  </si>
  <si>
    <t xml:space="preserve">    Kultuuri- ja vaba aja sisust.kulud (üritused)</t>
  </si>
  <si>
    <t xml:space="preserve">    Muud (tr.teenus, muu maj.kulu) </t>
  </si>
  <si>
    <t xml:space="preserve">    Muud kulud (riigilõiv)</t>
  </si>
  <si>
    <t xml:space="preserve">01114           </t>
  </si>
  <si>
    <t xml:space="preserve"> Reservfond</t>
  </si>
  <si>
    <t>Reservfond</t>
  </si>
  <si>
    <t xml:space="preserve">01600           </t>
  </si>
  <si>
    <t>Muud teenused (valimised )</t>
  </si>
  <si>
    <t xml:space="preserve">    Personalikulud</t>
  </si>
  <si>
    <t xml:space="preserve">   Majandamiskulud</t>
  </si>
  <si>
    <t>01800</t>
  </si>
  <si>
    <t xml:space="preserve"> Üldiseloomuga ülekanded valitsussektoris</t>
  </si>
  <si>
    <t xml:space="preserve">    Antud toetused (EMOL, TOL, Leader-grupid, ÜTK)</t>
  </si>
  <si>
    <t>RIIGIKAITSE</t>
  </si>
  <si>
    <t>kokku 02 riigikaitse kulud</t>
  </si>
  <si>
    <t>kokku 02 antud toetused</t>
  </si>
  <si>
    <t>kokku 02 personalikulud</t>
  </si>
  <si>
    <t>kokku 02 majandamiskulud</t>
  </si>
  <si>
    <t>kokku 02 muud</t>
  </si>
  <si>
    <t>02200</t>
  </si>
  <si>
    <t>Tsiviilkaitse</t>
  </si>
  <si>
    <t xml:space="preserve">03              </t>
  </si>
  <si>
    <t xml:space="preserve"> AVALIK KORD JA JULGEOLEK</t>
  </si>
  <si>
    <t>kokku 03 avalik kord ja julgeolek</t>
  </si>
  <si>
    <t>kokku 03 antud toetused</t>
  </si>
  <si>
    <t>kokku 03 personalikulud</t>
  </si>
  <si>
    <t>kokku 03 majandamiskulud</t>
  </si>
  <si>
    <t>kokku 03 muud</t>
  </si>
  <si>
    <t>03200</t>
  </si>
  <si>
    <t>Päästeteenused</t>
  </si>
  <si>
    <t xml:space="preserve">   Antud toetused</t>
  </si>
  <si>
    <t xml:space="preserve">    Administreerimiskulud (sidekulu)</t>
  </si>
  <si>
    <t xml:space="preserve">04              </t>
  </si>
  <si>
    <t xml:space="preserve"> MAJANDUS</t>
  </si>
  <si>
    <t>kokku 04 majandus</t>
  </si>
  <si>
    <t>kokku 04 antud toetused</t>
  </si>
  <si>
    <t>kokku 04 personalikulud</t>
  </si>
  <si>
    <t>kokku 04 majandamiskulud</t>
  </si>
  <si>
    <t>kokku 04 muud</t>
  </si>
  <si>
    <t xml:space="preserve">045101          </t>
  </si>
  <si>
    <t xml:space="preserve"> Autotransport</t>
  </si>
  <si>
    <t xml:space="preserve">5540            </t>
  </si>
  <si>
    <t xml:space="preserve">045102          </t>
  </si>
  <si>
    <t xml:space="preserve"> Valla teed , tänavad jm.rajatised (jooksev remont)</t>
  </si>
  <si>
    <t xml:space="preserve">    Inventarikulu</t>
  </si>
  <si>
    <t>04512</t>
  </si>
  <si>
    <t xml:space="preserve">  Ühistransport</t>
  </si>
  <si>
    <t xml:space="preserve">    Rajatiste majanduskulud</t>
  </si>
  <si>
    <t>04520</t>
  </si>
  <si>
    <t>Veetransport</t>
  </si>
  <si>
    <t xml:space="preserve">    Muud kulud (riigilõiv, maamaks,saaste)</t>
  </si>
  <si>
    <t>04710</t>
  </si>
  <si>
    <t>Kaubandus ja laondus</t>
  </si>
  <si>
    <t xml:space="preserve">    Muud majandamiskulud </t>
  </si>
  <si>
    <t>04730</t>
  </si>
  <si>
    <t>UUS</t>
  </si>
  <si>
    <t>TURISM</t>
  </si>
  <si>
    <t xml:space="preserve">04740           </t>
  </si>
  <si>
    <t xml:space="preserve"> Planeeringud, projektid ja muu arendustegevus</t>
  </si>
  <si>
    <t xml:space="preserve">    Majandamiskulud (projektide taotlused, arendus)</t>
  </si>
  <si>
    <t xml:space="preserve">    Planeerimis-, projekteerimis- ja arenduskulud</t>
  </si>
  <si>
    <t>049001</t>
  </si>
  <si>
    <t xml:space="preserve">Majanduse haldus </t>
  </si>
  <si>
    <t xml:space="preserve">    Administreerimiskulud</t>
  </si>
  <si>
    <r>
      <t xml:space="preserve">    Kinnistute, hoonete hooldus kokku </t>
    </r>
    <r>
      <rPr>
        <sz val="10"/>
        <color rgb="FFFF0000"/>
        <rFont val="Tahoma"/>
        <family val="2"/>
        <charset val="186"/>
      </rPr>
      <t>(Laeva +Tab töökoda+Tab garaaz)</t>
    </r>
  </si>
  <si>
    <t xml:space="preserve"> * valveteenused</t>
  </si>
  <si>
    <t xml:space="preserve">  * avariiremondifond üle valla hoonetel-KADI</t>
  </si>
  <si>
    <t xml:space="preserve"> * kindlustus</t>
  </si>
  <si>
    <t xml:space="preserve"> * muud kulud</t>
  </si>
  <si>
    <t xml:space="preserve">   Eri ja vormiriietus</t>
  </si>
  <si>
    <t xml:space="preserve">05              </t>
  </si>
  <si>
    <t xml:space="preserve"> KESKKONNAKAITSE, AVALIKUD ALAD</t>
  </si>
  <si>
    <t>kokku 05 keskkonnakaitse</t>
  </si>
  <si>
    <t>kokku 05 antud toetused</t>
  </si>
  <si>
    <t>kokku 05 personalikulud</t>
  </si>
  <si>
    <t>kokku 05 majandamiskulud</t>
  </si>
  <si>
    <t>kokku 05 muud</t>
  </si>
  <si>
    <t xml:space="preserve">05100           </t>
  </si>
  <si>
    <t xml:space="preserve"> Jäätmekäitlus (sh prügivedu)</t>
  </si>
  <si>
    <t xml:space="preserve">    Antud  toetused</t>
  </si>
  <si>
    <t xml:space="preserve">    Rajatiste majandamiskulud</t>
  </si>
  <si>
    <t>05101</t>
  </si>
  <si>
    <t>Avalike alade puhastus(teed,tänavad, haljasaalad)</t>
  </si>
  <si>
    <t xml:space="preserve">    Majandamiskulud (rajatised, haljasalad,  heakord)</t>
  </si>
  <si>
    <t xml:space="preserve">    Muud majanduskulud</t>
  </si>
  <si>
    <t>05200</t>
  </si>
  <si>
    <t>Heitveekäitlus (sademevesi)</t>
  </si>
  <si>
    <t>05400</t>
  </si>
  <si>
    <t>Bioloogilise mitmekesisuse ja maastiku kaitse (pargid, veekogud, kaitsealad)</t>
  </si>
  <si>
    <t xml:space="preserve">   Toiduained</t>
  </si>
  <si>
    <t xml:space="preserve">06              </t>
  </si>
  <si>
    <t xml:space="preserve"> ELAMU- JA KOMMUNAALMAJANDUS</t>
  </si>
  <si>
    <t>kokku 06 elamu ja kommunaalmajandus</t>
  </si>
  <si>
    <t>kokku 06 antud toetused</t>
  </si>
  <si>
    <t>kokku 06 personalikulud</t>
  </si>
  <si>
    <t>kokku 06 majandamiskulud</t>
  </si>
  <si>
    <t>kokku 06 muud</t>
  </si>
  <si>
    <t xml:space="preserve">06300           </t>
  </si>
  <si>
    <t xml:space="preserve"> Veevarustus</t>
  </si>
  <si>
    <r>
      <t xml:space="preserve">    Antud  toetused</t>
    </r>
    <r>
      <rPr>
        <b/>
        <sz val="9"/>
        <rFont val="Tahoma"/>
        <family val="2"/>
        <charset val="186"/>
      </rPr>
      <t xml:space="preserve"> Hajaastustuse programm</t>
    </r>
    <r>
      <rPr>
        <b/>
        <sz val="10"/>
        <rFont val="Tahoma"/>
        <family val="2"/>
        <charset val="186"/>
      </rPr>
      <t>=sihtfin</t>
    </r>
  </si>
  <si>
    <t xml:space="preserve"> *remonditeenus</t>
  </si>
  <si>
    <t xml:space="preserve">    Masinate ja seadmete maj.</t>
  </si>
  <si>
    <t xml:space="preserve">06400           </t>
  </si>
  <si>
    <t xml:space="preserve"> Tänavavalgustus</t>
  </si>
  <si>
    <t xml:space="preserve">    Majandamiskulud (rajatiste korrashoid)</t>
  </si>
  <si>
    <t>066051</t>
  </si>
  <si>
    <t>Elamumajandus (valla korterid)</t>
  </si>
  <si>
    <r>
      <t xml:space="preserve">    Antud  toetused</t>
    </r>
    <r>
      <rPr>
        <b/>
        <sz val="9"/>
        <rFont val="Tahoma"/>
        <family val="2"/>
        <charset val="186"/>
      </rPr>
      <t xml:space="preserve"> </t>
    </r>
    <r>
      <rPr>
        <sz val="9"/>
        <rFont val="Tahoma"/>
        <family val="2"/>
        <charset val="186"/>
      </rPr>
      <t>(KÜ toetusmeede)</t>
    </r>
  </si>
  <si>
    <t xml:space="preserve"> *üür ja rent</t>
  </si>
  <si>
    <t xml:space="preserve"> *muud hoonete ja ruumide kulud</t>
  </si>
  <si>
    <t xml:space="preserve">  * haldusteenus Raadi SA (Laeva Sotsmaja)</t>
  </si>
  <si>
    <t xml:space="preserve">    Masinate ja sead.ülalp.kulud (katlamajad+ventilat)</t>
  </si>
  <si>
    <t>066052</t>
  </si>
  <si>
    <t>Kalmistud</t>
  </si>
  <si>
    <t xml:space="preserve">    Eri- ja vormiriietus</t>
  </si>
  <si>
    <t>066053</t>
  </si>
  <si>
    <t>Loomade varjupaik</t>
  </si>
  <si>
    <t>07210</t>
  </si>
  <si>
    <t>Üldmeditsiiniteenused</t>
  </si>
  <si>
    <t>kokku 07 üldmeditsiiniteenused</t>
  </si>
  <si>
    <t>kokku 07 antud toetused</t>
  </si>
  <si>
    <t>kokku 07 personalikulud</t>
  </si>
  <si>
    <t>kokku 07 majandamiskulud</t>
  </si>
  <si>
    <t>kokku 07 muud</t>
  </si>
  <si>
    <t xml:space="preserve">    Majandamiskulud, ravikindlustuseta</t>
  </si>
  <si>
    <t xml:space="preserve"> * küte</t>
  </si>
  <si>
    <t xml:space="preserve">08              </t>
  </si>
  <si>
    <t xml:space="preserve"> VABA AEG, KULTUUR, RELIGIOON</t>
  </si>
  <si>
    <t>kokku 08 vaba aeg, kultuur, religioon</t>
  </si>
  <si>
    <t>kokku 08 antud toetused</t>
  </si>
  <si>
    <t>kokku 08 personalikulud</t>
  </si>
  <si>
    <t>kokku 08 majandamiskulud</t>
  </si>
  <si>
    <t>kokku 08 muud</t>
  </si>
  <si>
    <t xml:space="preserve">0810201          </t>
  </si>
  <si>
    <t xml:space="preserve"> Kõrveküla Spordihall</t>
  </si>
  <si>
    <t xml:space="preserve">   Masinate ja seadmete hooldus</t>
  </si>
  <si>
    <t>0810203</t>
  </si>
  <si>
    <t xml:space="preserve"> Ülevallalised spordiüritused</t>
  </si>
  <si>
    <t xml:space="preserve">   Toetus</t>
  </si>
  <si>
    <t xml:space="preserve">   Koolituskulud</t>
  </si>
  <si>
    <t xml:space="preserve">    Kinnistute, hoonete ja ruumide majand.kulud </t>
  </si>
  <si>
    <t>0810213</t>
  </si>
  <si>
    <t>Lähte spordihoone+staadion</t>
  </si>
  <si>
    <t xml:space="preserve">    * küte- ja soojusenergia</t>
  </si>
  <si>
    <t xml:space="preserve">    * elekter</t>
  </si>
  <si>
    <t xml:space="preserve">    * vesi - ja kanalisatsioon</t>
  </si>
  <si>
    <t xml:space="preserve">    * korrashoiumaterjalid, lisaseadm. ja tarvikud</t>
  </si>
  <si>
    <t xml:space="preserve">    * korrashoiuteenus</t>
  </si>
  <si>
    <t xml:space="preserve">    * valveteenused</t>
  </si>
  <si>
    <t xml:space="preserve">    * üür ja rent</t>
  </si>
  <si>
    <t xml:space="preserve">    * remonditeenus (restaureerim, lammutus)</t>
  </si>
  <si>
    <t xml:space="preserve">    * kindlustusmaksed</t>
  </si>
  <si>
    <t xml:space="preserve">    * muud kulud</t>
  </si>
  <si>
    <t xml:space="preserve">     Rajatiste majandamise kulud</t>
  </si>
  <si>
    <t xml:space="preserve">    Toiduained</t>
  </si>
  <si>
    <t xml:space="preserve">    Eri ja vormiriietus</t>
  </si>
  <si>
    <t>0810209</t>
  </si>
  <si>
    <t>Lähte jääväljak</t>
  </si>
  <si>
    <t>0810204</t>
  </si>
  <si>
    <t>Tartu Valla Spordikool</t>
  </si>
  <si>
    <t>0810205</t>
  </si>
  <si>
    <t xml:space="preserve"> Arvlemine spordiklubid</t>
  </si>
  <si>
    <t xml:space="preserve">   Tegevustoetus</t>
  </si>
  <si>
    <t>0810202</t>
  </si>
  <si>
    <t>Laeva Spordihoone</t>
  </si>
  <si>
    <t xml:space="preserve">   Administreerimiskulud</t>
  </si>
  <si>
    <t xml:space="preserve">   * üür ja rent</t>
  </si>
  <si>
    <t xml:space="preserve">    *muud kulud</t>
  </si>
  <si>
    <t xml:space="preserve">    Õppevahendid ja kohamaksud OV-dele jm.</t>
  </si>
  <si>
    <t>0810206</t>
  </si>
  <si>
    <t>Tartu Valla Spordiklubi</t>
  </si>
  <si>
    <t xml:space="preserve">    Isikliku sõiduauto kasutus</t>
  </si>
  <si>
    <t>0810207</t>
  </si>
  <si>
    <t>Terviserajad</t>
  </si>
  <si>
    <t xml:space="preserve">    Sõidukite majandamise kulud</t>
  </si>
  <si>
    <t xml:space="preserve">    Riigilõivud</t>
  </si>
  <si>
    <t>0810214</t>
  </si>
  <si>
    <t>Tabivere spordihoone</t>
  </si>
  <si>
    <t xml:space="preserve">     * küte</t>
  </si>
  <si>
    <t xml:space="preserve">    *üür ja rent </t>
  </si>
  <si>
    <t xml:space="preserve">   *muud</t>
  </si>
  <si>
    <t xml:space="preserve">   * haldusteenus Raadi SA</t>
  </si>
  <si>
    <t>0810208</t>
  </si>
  <si>
    <t>Kõrveküla kooli SH</t>
  </si>
  <si>
    <t xml:space="preserve"> * üür ja rent</t>
  </si>
  <si>
    <t>08103</t>
  </si>
  <si>
    <t>Puhkepargid, mänguväljakud</t>
  </si>
  <si>
    <t>081072</t>
  </si>
  <si>
    <t>Laeva Noortekeskus</t>
  </si>
  <si>
    <t xml:space="preserve">    Kinnistute, hoonete ja ruumide majand.kulud</t>
  </si>
  <si>
    <t xml:space="preserve"> * korrashoid</t>
  </si>
  <si>
    <t xml:space="preserve"> * jooksev remont</t>
  </si>
  <si>
    <t xml:space="preserve">   Õppevahendid sh mängud)</t>
  </si>
  <si>
    <t xml:space="preserve">    Muud mitmesugused majanduskulud</t>
  </si>
  <si>
    <t>081073</t>
  </si>
  <si>
    <t>Tabivere noortekeskus</t>
  </si>
  <si>
    <t>081074</t>
  </si>
  <si>
    <t>Maarja-Magdaleena noortekeskus</t>
  </si>
  <si>
    <t xml:space="preserve">    Koolitus-/lähetus kulud</t>
  </si>
  <si>
    <t xml:space="preserve">  * küte- ja soojusenergia</t>
  </si>
  <si>
    <t xml:space="preserve">  *valvekulud</t>
  </si>
  <si>
    <t>*kindlustus</t>
  </si>
  <si>
    <t xml:space="preserve">    Õppevahendid, mängud</t>
  </si>
  <si>
    <t>081076</t>
  </si>
  <si>
    <t>Lähte noortekeskus</t>
  </si>
  <si>
    <t>081078</t>
  </si>
  <si>
    <t>Õpilasmalev</t>
  </si>
  <si>
    <t>081079</t>
  </si>
  <si>
    <t xml:space="preserve">  Noorsootööspetsialist</t>
  </si>
  <si>
    <t>081091</t>
  </si>
  <si>
    <t xml:space="preserve"> Ülevallalised kultuuriüritused</t>
  </si>
  <si>
    <t xml:space="preserve">    Antud toetused</t>
  </si>
  <si>
    <t xml:space="preserve">    Majandamiskulud  (ürituste korraldamine)</t>
  </si>
  <si>
    <t xml:space="preserve">    Muud mitmesugused majanduskulud Transport</t>
  </si>
  <si>
    <t xml:space="preserve">0820102          </t>
  </si>
  <si>
    <t>Lähte Ühisraamatukogu</t>
  </si>
  <si>
    <t xml:space="preserve">    Liikmemaks</t>
  </si>
  <si>
    <t xml:space="preserve"> * korrashoiu materjalid</t>
  </si>
  <si>
    <t xml:space="preserve"> * korrashoiu teenus</t>
  </si>
  <si>
    <t xml:space="preserve">5523            </t>
  </si>
  <si>
    <t xml:space="preserve">    Teavikud ja kunstiesemed</t>
  </si>
  <si>
    <t xml:space="preserve">0820103          </t>
  </si>
  <si>
    <t xml:space="preserve"> Äksi RK</t>
  </si>
  <si>
    <t>* remonditeenus (restaureerim, lammutus), remondimaterjalid</t>
  </si>
  <si>
    <t xml:space="preserve"> * rent </t>
  </si>
  <si>
    <t xml:space="preserve">0820104          </t>
  </si>
  <si>
    <t xml:space="preserve"> Tammistu RK</t>
  </si>
  <si>
    <t xml:space="preserve"> *korrashoiuteenus</t>
  </si>
  <si>
    <t xml:space="preserve">  *remonditeenus</t>
  </si>
  <si>
    <t xml:space="preserve"> *muud</t>
  </si>
  <si>
    <t xml:space="preserve">0820105          </t>
  </si>
  <si>
    <t xml:space="preserve"> Vedu RK</t>
  </si>
  <si>
    <t xml:space="preserve">   Lähetuskulud</t>
  </si>
  <si>
    <t>* muud kulud</t>
  </si>
  <si>
    <t xml:space="preserve">0820106          </t>
  </si>
  <si>
    <t xml:space="preserve"> Kõrveküla RK  vald </t>
  </si>
  <si>
    <t xml:space="preserve">    Sõidukulud (isikl.auto kasutus)</t>
  </si>
  <si>
    <t xml:space="preserve">0820107          </t>
  </si>
  <si>
    <t xml:space="preserve"> Kõrveküla RK (maakonna rmtk.)</t>
  </si>
  <si>
    <t xml:space="preserve">    Majandamiskulud (teavikud)</t>
  </si>
  <si>
    <t>0820101</t>
  </si>
  <si>
    <t>Laeva RK</t>
  </si>
  <si>
    <t>0820108</t>
  </si>
  <si>
    <t xml:space="preserve">Tabivere raamatukogu                             </t>
  </si>
  <si>
    <t xml:space="preserve">    Info- ja komm.tehnoloogia kulud</t>
  </si>
  <si>
    <t xml:space="preserve">    Inventari kulud</t>
  </si>
  <si>
    <t xml:space="preserve">    Kultuuri-ja vaba aja sisustamise kulud</t>
  </si>
  <si>
    <t>0820109</t>
  </si>
  <si>
    <t xml:space="preserve">Elistvere raamatukogu                           </t>
  </si>
  <si>
    <t xml:space="preserve"> *elekter</t>
  </si>
  <si>
    <t xml:space="preserve">  *muud</t>
  </si>
  <si>
    <t xml:space="preserve">    Töötervishoiu kulud</t>
  </si>
  <si>
    <t>0820110</t>
  </si>
  <si>
    <t xml:space="preserve">Maarja Magdaleena raamatukogu                          </t>
  </si>
  <si>
    <t>0820111</t>
  </si>
  <si>
    <t>Piirissaare raamatukogu</t>
  </si>
  <si>
    <t xml:space="preserve"> * kindlustusmaksed</t>
  </si>
  <si>
    <t>082021</t>
  </si>
  <si>
    <t>Laeva kultuurimaja</t>
  </si>
  <si>
    <t xml:space="preserve">* muud kulud </t>
  </si>
  <si>
    <t xml:space="preserve"> * haldusteenus Raadi SA</t>
  </si>
  <si>
    <t xml:space="preserve">    Sõidukite ülalpidamise kulud</t>
  </si>
  <si>
    <t>082023</t>
  </si>
  <si>
    <t xml:space="preserve">Maarja-Magdaleena rahvamaja                             </t>
  </si>
  <si>
    <t>082022</t>
  </si>
  <si>
    <t>Tabivere rahvamaja</t>
  </si>
  <si>
    <t xml:space="preserve">    Tervisekontroll, meditsiinikulud</t>
  </si>
  <si>
    <t>082024</t>
  </si>
  <si>
    <t>Tammistu külakeskus</t>
  </si>
  <si>
    <t>**00</t>
  </si>
  <si>
    <t>**01</t>
  </si>
  <si>
    <t>**02</t>
  </si>
  <si>
    <t>**03</t>
  </si>
  <si>
    <t>**04</t>
  </si>
  <si>
    <t>**05</t>
  </si>
  <si>
    <t>**06</t>
  </si>
  <si>
    <t>**07</t>
  </si>
  <si>
    <t>082031</t>
  </si>
  <si>
    <t>Jääaja Keskus</t>
  </si>
  <si>
    <t xml:space="preserve">    Antud toetused (SA Saadjärve )</t>
  </si>
  <si>
    <t xml:space="preserve">    Administreerimiskulud kokku sh.    </t>
  </si>
  <si>
    <t>082032</t>
  </si>
  <si>
    <t>Tabivere muuseum</t>
  </si>
  <si>
    <t xml:space="preserve">    Toetused</t>
  </si>
  <si>
    <t>* elekter</t>
  </si>
  <si>
    <t xml:space="preserve">08300           </t>
  </si>
  <si>
    <t xml:space="preserve"> Valla ajaleht, veebileht</t>
  </si>
  <si>
    <t xml:space="preserve">08400           </t>
  </si>
  <si>
    <t xml:space="preserve"> Religioon</t>
  </si>
  <si>
    <t>45</t>
  </si>
  <si>
    <t xml:space="preserve">   Toetused</t>
  </si>
  <si>
    <t>08600</t>
  </si>
  <si>
    <t>Muu vaba aeg, kultuuri haldus</t>
  </si>
  <si>
    <t xml:space="preserve">09              </t>
  </si>
  <si>
    <t xml:space="preserve"> HARIDUS</t>
  </si>
  <si>
    <t>kokku 09 Haridus</t>
  </si>
  <si>
    <t>kokku 09 antud toetused</t>
  </si>
  <si>
    <t>kokku 09 personalikulud</t>
  </si>
  <si>
    <t>kokku 09 majandamiskulud</t>
  </si>
  <si>
    <t>kokku 09 muud</t>
  </si>
  <si>
    <t xml:space="preserve">0911001          </t>
  </si>
  <si>
    <t xml:space="preserve"> Kõrveküla LA koos Raadi LH-ga</t>
  </si>
  <si>
    <t>korr</t>
  </si>
  <si>
    <t xml:space="preserve">    Antud toetused (Raadi SA-le)</t>
  </si>
  <si>
    <t xml:space="preserve">   *elekter</t>
  </si>
  <si>
    <t xml:space="preserve">   *vesi</t>
  </si>
  <si>
    <t xml:space="preserve">    *valve</t>
  </si>
  <si>
    <t xml:space="preserve">    * remondimaterjalid</t>
  </si>
  <si>
    <t xml:space="preserve">   * kindlustus</t>
  </si>
  <si>
    <t xml:space="preserve">    Masinate ülalpidamise kulud (katlamaja+vent)</t>
  </si>
  <si>
    <t xml:space="preserve">5521            </t>
  </si>
  <si>
    <t xml:space="preserve">    Toiduained ja toitlustusteenused</t>
  </si>
  <si>
    <t xml:space="preserve">5524            </t>
  </si>
  <si>
    <t xml:space="preserve">    Õppevahendid</t>
  </si>
  <si>
    <t xml:space="preserve">0911002          </t>
  </si>
  <si>
    <t xml:space="preserve"> Lähte LA Kiisupere</t>
  </si>
  <si>
    <t xml:space="preserve">   * korrashoiumaterjalid, lisaseadm. ja tarvikud</t>
  </si>
  <si>
    <t xml:space="preserve">    *korrashoiuteenus</t>
  </si>
  <si>
    <t>    * kindlustus</t>
  </si>
  <si>
    <t>    *üür ja rent</t>
  </si>
  <si>
    <t xml:space="preserve">    Sõidukite ülapidamiskulud (isikl.sõiduauto komp.)</t>
  </si>
  <si>
    <t xml:space="preserve">    Õppevahendid </t>
  </si>
  <si>
    <t>Laeva Lasteaed</t>
  </si>
  <si>
    <t xml:space="preserve">   * korrashoiuteenus</t>
  </si>
  <si>
    <t>    * valvekulud</t>
  </si>
  <si>
    <t>    *muud kulud</t>
  </si>
  <si>
    <t>    *haldusteenus SA Raadi</t>
  </si>
  <si>
    <t xml:space="preserve">    Sõidukite ülalpidamise kulud, v.a kaitseotstarbeli</t>
  </si>
  <si>
    <t xml:space="preserve">    Info- ja kommunikatsioonitehnoloogia kulud</t>
  </si>
  <si>
    <t xml:space="preserve">    Inventari kulud, v.a infotehnoloogia ja kaitseotst</t>
  </si>
  <si>
    <t>Raadi Lasteaed Ripsik</t>
  </si>
  <si>
    <t xml:space="preserve">   Eri- ja vormiriietus</t>
  </si>
  <si>
    <t xml:space="preserve">0911004          </t>
  </si>
  <si>
    <t xml:space="preserve"> Arvlemised,LA kohamaks (teised KOV +lapsehoid)</t>
  </si>
  <si>
    <t xml:space="preserve">    Õppevahendid ja koolituse kulud</t>
  </si>
  <si>
    <t>Tabivere lasteaed</t>
  </si>
  <si>
    <t xml:space="preserve">    Ruumide majandamiskulud</t>
  </si>
  <si>
    <t xml:space="preserve">    *kindlustus</t>
  </si>
  <si>
    <t xml:space="preserve">    Masinate ja seadmete hooldused, remondid (kliima, küte, vent)</t>
  </si>
  <si>
    <t xml:space="preserve">    Muud mitmesugused majanduskulud (bussi kasutus)</t>
  </si>
  <si>
    <t>Maarja Magdaleena LA</t>
  </si>
  <si>
    <t xml:space="preserve">0921201          </t>
  </si>
  <si>
    <t xml:space="preserve"> Kõrveküla PK vald</t>
  </si>
  <si>
    <t xml:space="preserve">    * korrashoiu- ja remondimaterjalid</t>
  </si>
  <si>
    <t xml:space="preserve">  * muud kulud </t>
  </si>
  <si>
    <t xml:space="preserve">    Teavikud</t>
  </si>
  <si>
    <t xml:space="preserve">0921202          </t>
  </si>
  <si>
    <t xml:space="preserve"> Kõrveküla PK  riik (õpetajad)</t>
  </si>
  <si>
    <t xml:space="preserve">    Õppekirjandus</t>
  </si>
  <si>
    <r>
      <t xml:space="preserve">   Kultuuri-ja vaba aja =</t>
    </r>
    <r>
      <rPr>
        <sz val="10"/>
        <color rgb="FFC00000"/>
        <rFont val="Tahoma"/>
        <family val="2"/>
        <charset val="186"/>
      </rPr>
      <t>Kultuuriranits</t>
    </r>
  </si>
  <si>
    <t>0921205</t>
  </si>
  <si>
    <t xml:space="preserve"> Kõrveküla PK  juhid </t>
  </si>
  <si>
    <t>0921206</t>
  </si>
  <si>
    <t>Laeva Põhikool</t>
  </si>
  <si>
    <t xml:space="preserve">    Teavikud </t>
  </si>
  <si>
    <t>0921207</t>
  </si>
  <si>
    <t>Laeva Põhikool - riik</t>
  </si>
  <si>
    <t xml:space="preserve">   Õppevahendid</t>
  </si>
  <si>
    <t>0921216</t>
  </si>
  <si>
    <t xml:space="preserve">Laeva PK  juhid </t>
  </si>
  <si>
    <t>0921212</t>
  </si>
  <si>
    <t xml:space="preserve"> Hariduskulud teistele valdadele (põhikool)</t>
  </si>
  <si>
    <t>0921208</t>
  </si>
  <si>
    <t xml:space="preserve">Tabivere Põhikool                           </t>
  </si>
  <si>
    <t xml:space="preserve">   Ruumide majandamiskulud</t>
  </si>
  <si>
    <t>**</t>
  </si>
  <si>
    <t xml:space="preserve">   Sõidukite ülalpidamise kulud</t>
  </si>
  <si>
    <t xml:space="preserve">   Info- ja komm.tehnoloogia kulud</t>
  </si>
  <si>
    <t xml:space="preserve">   Inventari kulud</t>
  </si>
  <si>
    <t xml:space="preserve">    Tööriided</t>
  </si>
  <si>
    <t xml:space="preserve">    Muud mitmesugused maj.kulud+Erasmuse jääk</t>
  </si>
  <si>
    <t>0921209</t>
  </si>
  <si>
    <t>Tabivere Põhikool - riik</t>
  </si>
  <si>
    <t xml:space="preserve">  muud kulud-transport=Kultuuriranitsa sõit</t>
  </si>
  <si>
    <t>0921217</t>
  </si>
  <si>
    <t>Tabivere PK juhid</t>
  </si>
  <si>
    <t>0921210</t>
  </si>
  <si>
    <t>Maarja Magdaleena Põhikool</t>
  </si>
  <si>
    <t xml:space="preserve"> </t>
  </si>
  <si>
    <t xml:space="preserve">    * valvekulud</t>
  </si>
  <si>
    <t xml:space="preserve">    * remonditeenus</t>
  </si>
  <si>
    <t xml:space="preserve">    *muud</t>
  </si>
  <si>
    <t xml:space="preserve">  * kindlustus</t>
  </si>
  <si>
    <t xml:space="preserve">   Meditsiinikulud ja hügieenitarbed</t>
  </si>
  <si>
    <t xml:space="preserve">   Kultuuri-ja vaba aja sisustamise kulud</t>
  </si>
  <si>
    <t xml:space="preserve">   Muud mitmesugused majanduskulud+erasmus 20000</t>
  </si>
  <si>
    <t>0921211</t>
  </si>
  <si>
    <t>Maarja Põhikool  - riik</t>
  </si>
  <si>
    <t>0921218</t>
  </si>
  <si>
    <t>Maarja Põhikool juhid</t>
  </si>
  <si>
    <t>0921204</t>
  </si>
  <si>
    <t>Lähte ÜG õpetajad Pkool riik</t>
  </si>
  <si>
    <t>092131</t>
  </si>
  <si>
    <t xml:space="preserve"> Lähte ÜG gümn.osa  õpetajad (riik)</t>
  </si>
  <si>
    <t>0921213</t>
  </si>
  <si>
    <t xml:space="preserve"> Lähte ÜG vald</t>
  </si>
  <si>
    <t xml:space="preserve">    * üür ja rent+ muud</t>
  </si>
  <si>
    <t xml:space="preserve">   * muud kulud</t>
  </si>
  <si>
    <t xml:space="preserve">    Masinate ja seadmete ülalp.kulud (katlamajad, vent.)</t>
  </si>
  <si>
    <t xml:space="preserve">   Saastetasud</t>
  </si>
  <si>
    <t>0921214</t>
  </si>
  <si>
    <t xml:space="preserve"> Lähte ÜG juhid </t>
  </si>
  <si>
    <t>09212</t>
  </si>
  <si>
    <t>Hea hariduse fond</t>
  </si>
  <si>
    <t xml:space="preserve">    Õppevahendid, koolitused</t>
  </si>
  <si>
    <t>095101</t>
  </si>
  <si>
    <t xml:space="preserve"> Muusikakool</t>
  </si>
  <si>
    <t xml:space="preserve">    Sõidukite ülapidamiskulud (isiklik sõiduauto)</t>
  </si>
  <si>
    <t>095102</t>
  </si>
  <si>
    <t xml:space="preserve"> Arvlemised - huvikoolide eest</t>
  </si>
  <si>
    <t>095104</t>
  </si>
  <si>
    <t>riik</t>
  </si>
  <si>
    <t xml:space="preserve"> Noorte huviharidus ja huvitegevus</t>
  </si>
  <si>
    <t xml:space="preserve">     Toetused</t>
  </si>
  <si>
    <t>095103</t>
  </si>
  <si>
    <t>Tabivere Huvikool</t>
  </si>
  <si>
    <t xml:space="preserve">09600           </t>
  </si>
  <si>
    <t xml:space="preserve"> Koolitransport</t>
  </si>
  <si>
    <t xml:space="preserve">   Majandamiskulud </t>
  </si>
  <si>
    <t>096011</t>
  </si>
  <si>
    <t>Koolitoit Kõrveküla PK</t>
  </si>
  <si>
    <t xml:space="preserve">    Majandamiskulud (köökide otsekulud)</t>
  </si>
  <si>
    <t xml:space="preserve">   Kinnistute, hoonete ja ruumide majand.kulud kokku </t>
  </si>
  <si>
    <t xml:space="preserve"> *korrashoiumaterjalid</t>
  </si>
  <si>
    <t>096012</t>
  </si>
  <si>
    <t>Koolitoit Lähte ÜG</t>
  </si>
  <si>
    <t xml:space="preserve"> *küte</t>
  </si>
  <si>
    <t>..03</t>
  </si>
  <si>
    <t>..04</t>
  </si>
  <si>
    <t>..05</t>
  </si>
  <si>
    <t xml:space="preserve"> *valve</t>
  </si>
  <si>
    <t>..06</t>
  </si>
  <si>
    <t xml:space="preserve"> *remondimaterjalid</t>
  </si>
  <si>
    <t xml:space="preserve">  Inventari kulud ja hooldus</t>
  </si>
  <si>
    <t xml:space="preserve">  Toiduained</t>
  </si>
  <si>
    <t xml:space="preserve">  Meditsiinikulud ja hügieenitarbed</t>
  </si>
  <si>
    <t>096013</t>
  </si>
  <si>
    <t>Koolitoit Laeva</t>
  </si>
  <si>
    <t xml:space="preserve">    Majandamiskulud </t>
  </si>
  <si>
    <t>096014</t>
  </si>
  <si>
    <t>Koolitoit Tabivere</t>
  </si>
  <si>
    <t xml:space="preserve">     Eririietus</t>
  </si>
  <si>
    <t>096015</t>
  </si>
  <si>
    <t>Koolitoit Maarja-Magdaleena PK</t>
  </si>
  <si>
    <t>096021</t>
  </si>
  <si>
    <t>Lähte ÜG õpilaskodu</t>
  </si>
  <si>
    <t xml:space="preserve">   * remonditeenus</t>
  </si>
  <si>
    <t>096022</t>
  </si>
  <si>
    <t>Õpilaskodu kulud - teistele OV-dele</t>
  </si>
  <si>
    <t xml:space="preserve">   tegevustoetused</t>
  </si>
  <si>
    <t>096023</t>
  </si>
  <si>
    <t>Õpilaskodu Maarja Magdaleena</t>
  </si>
  <si>
    <t>09800</t>
  </si>
  <si>
    <t xml:space="preserve"> Haridusalaste tegevuste haldamine</t>
  </si>
  <si>
    <t xml:space="preserve">10              </t>
  </si>
  <si>
    <t xml:space="preserve"> SOTSIAALNE KAITSE</t>
  </si>
  <si>
    <t>kokku 10 Sotsiaalne kaitse</t>
  </si>
  <si>
    <t>kokku 10 antud toetused</t>
  </si>
  <si>
    <t>kokku 10 personalikulud</t>
  </si>
  <si>
    <t>kokku 10 majandamiskulud</t>
  </si>
  <si>
    <t>kokku 10 muud</t>
  </si>
  <si>
    <t xml:space="preserve">101211           </t>
  </si>
  <si>
    <t xml:space="preserve"> Puuetega inimeste sotsiaalne kaitse (täiskasvanud)</t>
  </si>
  <si>
    <t xml:space="preserve">4133            </t>
  </si>
  <si>
    <t xml:space="preserve">    Toetused puuetega inim.-tele ja nende hooldajatele</t>
  </si>
  <si>
    <t>4133 01/101211 hooldajatoetus</t>
  </si>
  <si>
    <t>4133 02/101211 hapnikuap(elektri) toetus</t>
  </si>
  <si>
    <t>4133 03/101211 viipekeeletõlgitoetus</t>
  </si>
  <si>
    <t>4133 05/101211 vajaduspõhine toetus</t>
  </si>
  <si>
    <t>4133 07/101211 küttetoetus</t>
  </si>
  <si>
    <t>4133 08/10402 muud toetused?</t>
  </si>
  <si>
    <t>4133 09/101211 ravimite, raviteenuste toetus</t>
  </si>
  <si>
    <t xml:space="preserve">4133 10/101211 hooldusabiteenus </t>
  </si>
  <si>
    <t xml:space="preserve">4137            </t>
  </si>
  <si>
    <t xml:space="preserve">    Puudega inimese hooldaja - sots.maks</t>
  </si>
  <si>
    <t xml:space="preserve">    Sõidukite ülapidamiskulud (isiklik sõiduauto)tugiisiku transp komp</t>
  </si>
  <si>
    <t xml:space="preserve">  Sotsiaalteenused (ÜTAK+tugiisik,muud,igapäevaelu toetus)</t>
  </si>
  <si>
    <t>*5526 /01 tugiisiku teenus (Estkeer)</t>
  </si>
  <si>
    <t>*5526 /02 sotsiaaltransport</t>
  </si>
  <si>
    <t>*5526 /10 muud kulud ( Maarja küla)</t>
  </si>
  <si>
    <t>*5526 /11 igapäevaelutoetamine (teistes päevakeskustes)</t>
  </si>
  <si>
    <t xml:space="preserve">101212          </t>
  </si>
  <si>
    <t xml:space="preserve"> Puuetega inimeste sotsiaalne kaitse (lapsed)</t>
  </si>
  <si>
    <t>ESF</t>
  </si>
  <si>
    <t>4133 11/101212 puudega lapse hoiuteenus-transport</t>
  </si>
  <si>
    <t>4133 13/101212 puudega lapse hoiuteenus-lapsehoid</t>
  </si>
  <si>
    <t>4133 14/101212 puudega lapse hoiuteenus-nõustamine</t>
  </si>
  <si>
    <t>4133 16/101212 puudega lapse hoiuteenus-tugiisikuteenus</t>
  </si>
  <si>
    <t>4133 19/101212 puudega lapse hoiuteenus-muud teenused</t>
  </si>
  <si>
    <t>4133 20/101212 puudega lapse hoiuteenus-sotsiaaltransport</t>
  </si>
  <si>
    <t xml:space="preserve">    Sotsiaalmaks</t>
  </si>
  <si>
    <t xml:space="preserve">   Toetused puuetega lastele</t>
  </si>
  <si>
    <t>*5526 /01 tugiteenuse ots</t>
  </si>
  <si>
    <t>*5526 /14 lapsehoiuteenus</t>
  </si>
  <si>
    <t>101215</t>
  </si>
  <si>
    <t xml:space="preserve">   Invavahendid ja transport (puue)</t>
  </si>
  <si>
    <t xml:space="preserve">101216          </t>
  </si>
  <si>
    <t xml:space="preserve">    Hapniku (elektri) kompensatsioon</t>
  </si>
  <si>
    <t xml:space="preserve">101217          </t>
  </si>
  <si>
    <t xml:space="preserve">4138            </t>
  </si>
  <si>
    <t xml:space="preserve">   Viipekeele tõlgi toetus</t>
  </si>
  <si>
    <t>101218</t>
  </si>
  <si>
    <t>Muud teenused puuetega in-kodu kohandamine</t>
  </si>
  <si>
    <t xml:space="preserve">   Kodukohandamise teenus puuetega inimestele</t>
  </si>
  <si>
    <t>1012191</t>
  </si>
  <si>
    <t>Pikaajaline kaitstud töö teenus</t>
  </si>
  <si>
    <t>    Õppevahendid </t>
  </si>
  <si>
    <t>1012192</t>
  </si>
  <si>
    <t xml:space="preserve">Päevakeskus (Tabivere ja Maarja) </t>
  </si>
  <si>
    <t>4132 toetused töötutele</t>
  </si>
  <si>
    <t xml:space="preserve">    Majandamiskulud  </t>
  </si>
  <si>
    <t xml:space="preserve"> * vesi ja kanalisatsioon</t>
  </si>
  <si>
    <t xml:space="preserve"> * korrashoiu ja rem materjalid</t>
  </si>
  <si>
    <t>* kindlustus</t>
  </si>
  <si>
    <t>* üür ja rent (Päästeametis rent??+ KÜ tuuliku 9)</t>
  </si>
  <si>
    <t xml:space="preserve"> * muud</t>
  </si>
  <si>
    <t xml:space="preserve">   Sotsiaalteenused</t>
  </si>
  <si>
    <t xml:space="preserve">102002           </t>
  </si>
  <si>
    <t xml:space="preserve"> Eakate hooldekodud  (ostetud teenus)</t>
  </si>
  <si>
    <t xml:space="preserve">102012          </t>
  </si>
  <si>
    <t>Muud sotsiaalabi toetused</t>
  </si>
  <si>
    <t xml:space="preserve">102001          </t>
  </si>
  <si>
    <t xml:space="preserve">    Sotsiaalteenused (hooldekodude teenuse ost)</t>
  </si>
  <si>
    <t>Tabivere hooldekodu (suletud)</t>
  </si>
  <si>
    <t xml:space="preserve">102003  </t>
  </si>
  <si>
    <t>RIIK</t>
  </si>
  <si>
    <t xml:space="preserve"> Eakate hooldekodud  hoolduskomp</t>
  </si>
  <si>
    <t xml:space="preserve">10201           </t>
  </si>
  <si>
    <t xml:space="preserve"> Muu  eakatele sotsiaalne kaitse</t>
  </si>
  <si>
    <t>4138 02/10201 küttepuude toetus</t>
  </si>
  <si>
    <t>4138 03/10201 ravimid ja raviteenuste toetus</t>
  </si>
  <si>
    <t>4138 04/10201 muud toetused(uus al 07.2023)</t>
  </si>
  <si>
    <t>4138 05/10201 tervisetoetus</t>
  </si>
  <si>
    <t>Asendus- ja järelhooldus (lapsed)</t>
  </si>
  <si>
    <t>Antud toetused</t>
  </si>
  <si>
    <t xml:space="preserve">  *03 asendus ja järelhooldus</t>
  </si>
  <si>
    <t>Sotsiaalteenused</t>
  </si>
  <si>
    <t>5526 08 asendushooldusteenus</t>
  </si>
  <si>
    <t xml:space="preserve">10402           </t>
  </si>
  <si>
    <t xml:space="preserve"> Muud perekondade ja laste sotsiaalne kaitse</t>
  </si>
  <si>
    <t>Peretoetused</t>
  </si>
  <si>
    <t>4130/10402 raske maj. oluk</t>
  </si>
  <si>
    <t>4130/10402 huvitegevuse toetus</t>
  </si>
  <si>
    <t>4130/10402 muud peretoetused</t>
  </si>
  <si>
    <t>4130/10402 tervisetoetus</t>
  </si>
  <si>
    <t>12</t>
  </si>
  <si>
    <t>4130/10402 sünnitoetus</t>
  </si>
  <si>
    <t>13</t>
  </si>
  <si>
    <t>4130/10402 koolitoetus</t>
  </si>
  <si>
    <t>17</t>
  </si>
  <si>
    <t>4130/10402 hoolduspere lapse toetus</t>
  </si>
  <si>
    <t>18</t>
  </si>
  <si>
    <t>4130/10402 hoolduspere vanema toetus</t>
  </si>
  <si>
    <t>19</t>
  </si>
  <si>
    <t>4130/10402 ranitsatoetus</t>
  </si>
  <si>
    <t>Toimet ja täiendav sots toetus (el hinna komp riik)</t>
  </si>
  <si>
    <t>4133 08 muud toetused</t>
  </si>
  <si>
    <t xml:space="preserve"> Õppetoetused</t>
  </si>
  <si>
    <t>4134 01/104023 lasteaia õppemaksu</t>
  </si>
  <si>
    <t>4134 04/104024 sõidusoodustused</t>
  </si>
  <si>
    <t xml:space="preserve">  03</t>
  </si>
  <si>
    <t>4134/104025 koolitoidu soodustus (teisedKOV)</t>
  </si>
  <si>
    <t>4138 01/10402 matusetoetus</t>
  </si>
  <si>
    <t>4138 04/10201 muud toetused</t>
  </si>
  <si>
    <r>
      <t>4138 05/10201 vajaduspõhine=</t>
    </r>
    <r>
      <rPr>
        <i/>
        <sz val="9"/>
        <color rgb="FFFF0000"/>
        <rFont val="Tahoma"/>
        <family val="2"/>
        <charset val="186"/>
      </rPr>
      <t xml:space="preserve"> </t>
    </r>
    <r>
      <rPr>
        <b/>
        <i/>
        <sz val="9"/>
        <color rgb="FFFF0000"/>
        <rFont val="Tahoma"/>
        <family val="2"/>
        <charset val="186"/>
      </rPr>
      <t>psühh nõustam</t>
    </r>
  </si>
  <si>
    <t>Preemiad ja stipendiumid(medalistid)</t>
  </si>
  <si>
    <t>Tegevustoetused</t>
  </si>
  <si>
    <t xml:space="preserve"> Vaba aeg</t>
  </si>
  <si>
    <t>5526 01</t>
  </si>
  <si>
    <t xml:space="preserve">    * tugiisik(teenuse ost)</t>
  </si>
  <si>
    <t>5525 08</t>
  </si>
  <si>
    <t xml:space="preserve">   *asendushooldusteenus (asenduspere SOS)</t>
  </si>
  <si>
    <t>5526 09</t>
  </si>
  <si>
    <t xml:space="preserve">    *varjupaigateenus</t>
  </si>
  <si>
    <t>5526 10</t>
  </si>
  <si>
    <t xml:space="preserve">   *101211 muud kulud</t>
  </si>
  <si>
    <t>5526 12</t>
  </si>
  <si>
    <t xml:space="preserve">    *10402 laste laager</t>
  </si>
  <si>
    <t>5526 90</t>
  </si>
  <si>
    <t xml:space="preserve">   *asendushooldusteenus (asenduspere SOS-ei ole siisn)</t>
  </si>
  <si>
    <t>muud Transport</t>
  </si>
  <si>
    <t>10600</t>
  </si>
  <si>
    <t xml:space="preserve">Elamuasemeteenused </t>
  </si>
  <si>
    <t>4130 04</t>
  </si>
  <si>
    <t>Sotsiaalabi toetused</t>
  </si>
  <si>
    <t>10700</t>
  </si>
  <si>
    <t>Riskirühmade sotsiaalhoolekande asutused (täiskasvanud)</t>
  </si>
  <si>
    <t xml:space="preserve"> Majandamiskulud</t>
  </si>
  <si>
    <t xml:space="preserve">10701           </t>
  </si>
  <si>
    <t xml:space="preserve"> Riiklik toimetulekutoetus </t>
  </si>
  <si>
    <t xml:space="preserve">107011         </t>
  </si>
  <si>
    <t xml:space="preserve"> Toimetulekutoetus ja täiendavad sots.toetused</t>
  </si>
  <si>
    <t>10702</t>
  </si>
  <si>
    <t>Muu sotsiaalsete riskirühmade kaitse (Ukraina)</t>
  </si>
  <si>
    <t>4138 04</t>
  </si>
  <si>
    <t xml:space="preserve">10900           </t>
  </si>
  <si>
    <t xml:space="preserve"> Muu sotsiaalne kaitse </t>
  </si>
  <si>
    <t xml:space="preserve">10900 1         </t>
  </si>
  <si>
    <t>Sotsiaalse kaitse haldus kokku sh.</t>
  </si>
  <si>
    <t>Majandamiskulud</t>
  </si>
  <si>
    <t xml:space="preserve">    Sotsiaalteenused</t>
  </si>
  <si>
    <t xml:space="preserve">109003          </t>
  </si>
  <si>
    <t xml:space="preserve"> Kriisiabi</t>
  </si>
  <si>
    <t>4138 06/  kriisiabi</t>
  </si>
  <si>
    <t>109004</t>
  </si>
  <si>
    <t>Projektipõhine tegevus kokku</t>
  </si>
  <si>
    <t xml:space="preserve"> muud toetused</t>
  </si>
  <si>
    <t>PÕHITEGEVUSE  KULUD KOKKU</t>
  </si>
  <si>
    <t>III</t>
  </si>
  <si>
    <t>INVESTEERIMISTEGEVUS</t>
  </si>
  <si>
    <t>Põhivara soetuseks saadav sihtfin.sh</t>
  </si>
  <si>
    <t>riigilt lisa investeeringuteks</t>
  </si>
  <si>
    <t>Tabivere kool</t>
  </si>
  <si>
    <t>Jäätmemajandus</t>
  </si>
  <si>
    <t>06300</t>
  </si>
  <si>
    <t>Hajaasustuse programm</t>
  </si>
  <si>
    <t>terviserajad, kultuurimin.</t>
  </si>
  <si>
    <t>Lähte jäähall/väljak I+II etappMATA</t>
  </si>
  <si>
    <t>Tooni küla veetrass</t>
  </si>
  <si>
    <t>Piiri küla veetrass</t>
  </si>
  <si>
    <t>Tooni küla mänguväljak</t>
  </si>
  <si>
    <t>01112</t>
  </si>
  <si>
    <t>Vallamaja hoone energiatõhususe parandamine</t>
  </si>
  <si>
    <t>04510</t>
  </si>
  <si>
    <t>Laeva kergliiklustee</t>
  </si>
  <si>
    <t>Lähte Noortekeskus</t>
  </si>
  <si>
    <t>Kriisiks valmisolek-vahendid</t>
  </si>
  <si>
    <t>Multifunktsionaalne traktor-tõstuk</t>
  </si>
  <si>
    <t>Terviseradade, keskuste meede</t>
  </si>
  <si>
    <t>045102</t>
  </si>
  <si>
    <t>Muuseumi tee pikendus, koostöö linnaga MATA</t>
  </si>
  <si>
    <t>08400</t>
  </si>
  <si>
    <t>Piirissaare Vanausuliste kalmistu väravad</t>
  </si>
  <si>
    <t>Piiriülene koostööprogr-Piirissaare</t>
  </si>
  <si>
    <t>UKR elamumajanduse toetus</t>
  </si>
  <si>
    <t>Piirissaare veetorustik (Linnutee-Klubi kinnistu vaheline)</t>
  </si>
  <si>
    <t>Kõrveküla PK elektripark ( projektitoetus)</t>
  </si>
  <si>
    <t>Äksi Kabeli  (Muinsuskaitse)</t>
  </si>
  <si>
    <t>Põhivara soetuseks antav sihtfin. sh.</t>
  </si>
  <si>
    <t>Raadi SA laenu tagasimakse</t>
  </si>
  <si>
    <t>veevarustus ERMI,Raadiraja jne Tartu Veevärk</t>
  </si>
  <si>
    <t>Kärkna kergliiklustee MNT</t>
  </si>
  <si>
    <t>Tammistu Külatee L1-asfalteerimineWesicoProjekt %</t>
  </si>
  <si>
    <t>Emajõe Veevärgi aktsiate ostmine-Maarja Magdaleena projekt-osalus%</t>
  </si>
  <si>
    <t>SA Saadjärve PV investeeringuks</t>
  </si>
  <si>
    <t>Piiriülene koostööprogr-Piirissaare-Vanausuliste Kogusdusele sihtfin</t>
  </si>
  <si>
    <t>Tartu Valla Kommunaal bussi liising+intressid</t>
  </si>
  <si>
    <t>Tartu Veevärk osalus TERA asemel</t>
  </si>
  <si>
    <t>Põhivara müük</t>
  </si>
  <si>
    <t>Põhivara soetus, renoveerimine (-)</t>
  </si>
  <si>
    <t>1511</t>
  </si>
  <si>
    <t>Emajõe Veevärgi aktsiate ostmine</t>
  </si>
  <si>
    <t>Vallamaja hoone Kõrveküla</t>
  </si>
  <si>
    <t>Majandus (teed)</t>
  </si>
  <si>
    <t>Kaasav eelarve</t>
  </si>
  <si>
    <t>Kergliiklusteed</t>
  </si>
  <si>
    <t>Kooli tn Kõrveküla</t>
  </si>
  <si>
    <t>Kuusisoo tee</t>
  </si>
  <si>
    <t>Lasteaia tn Kõrvekülas</t>
  </si>
  <si>
    <t>Muuseumi tee pikendus Raadi</t>
  </si>
  <si>
    <t>Viinapruuli tn</t>
  </si>
  <si>
    <t>Raadiraja tn</t>
  </si>
  <si>
    <t>Ermi tn</t>
  </si>
  <si>
    <t>Lähte-Äksi kergtee projekt (Jõgeva mnt)</t>
  </si>
  <si>
    <t xml:space="preserve">Mänguväljakud </t>
  </si>
  <si>
    <t>Veevarustus (sadevee projekt)</t>
  </si>
  <si>
    <t>Tuletõrje veevarustus (Erala Toru)</t>
  </si>
  <si>
    <t>06400</t>
  </si>
  <si>
    <t>Tänavavalgustus</t>
  </si>
  <si>
    <t>Teemaade soetamine</t>
  </si>
  <si>
    <t>08102</t>
  </si>
  <si>
    <t>Lähte spordihoone juurdeehitus</t>
  </si>
  <si>
    <t>08202</t>
  </si>
  <si>
    <t>Tammistu  rahvamaja rekonstrueerimine</t>
  </si>
  <si>
    <t xml:space="preserve">Kõrveküla põhikooli spordihoone </t>
  </si>
  <si>
    <t>Terviserajad (traktor)</t>
  </si>
  <si>
    <t xml:space="preserve">Terviserajad </t>
  </si>
  <si>
    <t xml:space="preserve">Raadi jalpalliväljak </t>
  </si>
  <si>
    <t>09110</t>
  </si>
  <si>
    <t>Laeva LA katus/küttesüsteem</t>
  </si>
  <si>
    <t>Tabivere LA lahtine mööbel</t>
  </si>
  <si>
    <t>Lähte LA kööki katel (toitlustus Tabivere LA)</t>
  </si>
  <si>
    <t>Tabivere kool sisustus</t>
  </si>
  <si>
    <t>Kõrveküla kool</t>
  </si>
  <si>
    <t xml:space="preserve">Lähte jääväljak Ietapp </t>
  </si>
  <si>
    <t xml:space="preserve">Lähte jääväljak+kate IIetapp </t>
  </si>
  <si>
    <t xml:space="preserve">Kõrveküla staadion </t>
  </si>
  <si>
    <t>Lähte staadion ja kooli väliala (projekteerimine)</t>
  </si>
  <si>
    <t>Lähte Ühisgümnaasium, projekt+100A</t>
  </si>
  <si>
    <t>10200</t>
  </si>
  <si>
    <t>Generaatorid 2tk</t>
  </si>
  <si>
    <t>Tankla</t>
  </si>
  <si>
    <t>Tabivere rahvamaja( Päästeam ettekirjutused)</t>
  </si>
  <si>
    <t>Toominga tn. juurdepääs</t>
  </si>
  <si>
    <t>Mõisavärava park Raadi alev</t>
  </si>
  <si>
    <t>Grossi</t>
  </si>
  <si>
    <t>Vahi Keskuse tee kõnnitee, Pargi tn. pikendus</t>
  </si>
  <si>
    <t>Kõrveküla Pihlaka tänav</t>
  </si>
  <si>
    <t>Kõrveküla muusikakool</t>
  </si>
  <si>
    <t>Maa ost-Pöialpoisi tn krunt</t>
  </si>
  <si>
    <t>Multifunktsionaalne traktor-tõstuk (Piirissaarel)</t>
  </si>
  <si>
    <t>liisingust välja jääk ost  sõidukid</t>
  </si>
  <si>
    <t>06100</t>
  </si>
  <si>
    <t>kaugküte Raadi</t>
  </si>
  <si>
    <t>09110010</t>
  </si>
  <si>
    <t>Raadi hariduskeskusLA</t>
  </si>
  <si>
    <t>Keskuse tee proj+esialg</t>
  </si>
  <si>
    <t>Raadi hariduskeskus PKOOL projekt algus</t>
  </si>
  <si>
    <t>Rähni tn</t>
  </si>
  <si>
    <t>Mõisa pst ristmik</t>
  </si>
  <si>
    <t>MaarjaMagdaleena PK õpilaskodu+kütte eh</t>
  </si>
  <si>
    <t>Maarja Magdaleena laululava katuse rek.</t>
  </si>
  <si>
    <t>Elamumajandus/Purje tee 5 Laeva</t>
  </si>
  <si>
    <t>Laeva KM- uus maakütte pump, sõlm jne</t>
  </si>
  <si>
    <t>UKR elamumajanduse toetus/ Purje tee 5,Laeva</t>
  </si>
  <si>
    <t>Kõrveküla kooli Spordihoone (kapitalirent)</t>
  </si>
  <si>
    <t>0921201</t>
  </si>
  <si>
    <t>Kõrveküla PK (kapitalirent)</t>
  </si>
  <si>
    <t>2024a</t>
  </si>
  <si>
    <t>Raadi piirkonna KV ost lapsehoiu ruumideks</t>
  </si>
  <si>
    <t xml:space="preserve">38208           </t>
  </si>
  <si>
    <t>38208</t>
  </si>
  <si>
    <t>Finatstulud  (+)</t>
  </si>
  <si>
    <t xml:space="preserve">01700           </t>
  </si>
  <si>
    <t>Finatskulud  (-)</t>
  </si>
  <si>
    <t>INVESTEERIMISTEGEVUS KOKKU</t>
  </si>
  <si>
    <t>EELARVE TULEM (ülej.(+), puuduj. (-))</t>
  </si>
  <si>
    <t>IV</t>
  </si>
  <si>
    <t>FINANTSEERIMISTEGEVUS</t>
  </si>
  <si>
    <t>2585</t>
  </si>
  <si>
    <t>Kohustuste võtmine (+)</t>
  </si>
  <si>
    <t>2586</t>
  </si>
  <si>
    <t>Kohustuste tasumine (-)</t>
  </si>
  <si>
    <t>FINANTSEERIMISTEGEVUS KOKKU</t>
  </si>
  <si>
    <t>V</t>
  </si>
  <si>
    <t>LIKVIIDSETE VARADE MUUTUS:</t>
  </si>
  <si>
    <t>nõuete ja kohustuste muutus tekkepõhiselt</t>
  </si>
  <si>
    <t>EELARVE TASAKAAL</t>
  </si>
  <si>
    <t>1.lugemine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</si>
</sst>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2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Tahoma"/>
      <family val="2"/>
    </font>
    <font>
      <b/>
      <sz val="8"/>
      <name val="Tahoma"/>
      <family val="2"/>
    </font>
    <font>
      <i/>
      <sz val="8"/>
      <name val="Tahoma"/>
      <family val="2"/>
    </font>
    <font>
      <sz val="8"/>
      <name val="Tahoma"/>
      <family val="2"/>
      <charset val="186"/>
    </font>
    <font>
      <i/>
      <sz val="8"/>
      <name val="Tahoma"/>
      <family val="2"/>
      <charset val="186"/>
    </font>
    <font>
      <b/>
      <sz val="8"/>
      <name val="Tahoma"/>
      <family val="2"/>
      <charset val="186"/>
    </font>
    <font>
      <sz val="10"/>
      <name val="Arial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i/>
      <sz val="8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rgb="FFFF0000"/>
      <name val="Tahoma"/>
      <family val="2"/>
      <charset val="186"/>
    </font>
    <font>
      <sz val="10"/>
      <color rgb="FFFF0000"/>
      <name val="Tahoma"/>
      <family val="2"/>
      <charset val="186"/>
    </font>
    <font>
      <i/>
      <sz val="10"/>
      <name val="Tahoma"/>
      <family val="2"/>
      <charset val="186"/>
    </font>
    <font>
      <b/>
      <i/>
      <sz val="10"/>
      <name val="Tahoma"/>
      <family val="2"/>
      <charset val="186"/>
    </font>
    <font>
      <sz val="8"/>
      <name val="Arial"/>
      <family val="2"/>
      <charset val="186"/>
    </font>
    <font>
      <b/>
      <sz val="10"/>
      <color theme="1"/>
      <name val="Tahoma"/>
      <family val="2"/>
      <charset val="186"/>
    </font>
    <font>
      <sz val="10"/>
      <name val="Tahoma"/>
      <family val="2"/>
    </font>
    <font>
      <b/>
      <sz val="11"/>
      <name val="Tahoma"/>
      <family val="2"/>
      <charset val="186"/>
    </font>
    <font>
      <sz val="11"/>
      <name val="Tahoma"/>
      <family val="2"/>
      <charset val="186"/>
    </font>
    <font>
      <sz val="9"/>
      <name val="Arial"/>
      <family val="2"/>
      <charset val="186"/>
    </font>
    <font>
      <b/>
      <sz val="9"/>
      <name val="Tahoma"/>
      <family val="2"/>
      <charset val="186"/>
    </font>
    <font>
      <sz val="10"/>
      <name val="Arial"/>
      <family val="2"/>
      <charset val="186"/>
    </font>
    <font>
      <sz val="9"/>
      <name val="Tahoma"/>
      <family val="2"/>
      <charset val="186"/>
    </font>
    <font>
      <i/>
      <sz val="9"/>
      <name val="Tahoma"/>
      <family val="2"/>
      <charset val="186"/>
    </font>
    <font>
      <i/>
      <sz val="9"/>
      <name val="Arial"/>
      <family val="2"/>
      <charset val="186"/>
    </font>
    <font>
      <b/>
      <i/>
      <sz val="9"/>
      <name val="Arial"/>
      <family val="2"/>
      <charset val="186"/>
    </font>
    <font>
      <b/>
      <i/>
      <sz val="9"/>
      <name val="Tahoma"/>
      <family val="2"/>
      <charset val="186"/>
    </font>
    <font>
      <i/>
      <sz val="9"/>
      <color rgb="FFFF0000"/>
      <name val="Tahoma"/>
      <family val="2"/>
      <charset val="186"/>
    </font>
    <font>
      <i/>
      <sz val="10"/>
      <color rgb="FF0070C0"/>
      <name val="Tahoma"/>
      <family val="2"/>
      <charset val="186"/>
    </font>
    <font>
      <b/>
      <i/>
      <sz val="9"/>
      <color rgb="FF00B0F0"/>
      <name val="Arial"/>
      <family val="2"/>
      <charset val="186"/>
    </font>
    <font>
      <b/>
      <i/>
      <sz val="9"/>
      <color rgb="FFFF0000"/>
      <name val="Arial"/>
      <family val="2"/>
      <charset val="186"/>
    </font>
    <font>
      <b/>
      <i/>
      <sz val="9"/>
      <color rgb="FFFF0000"/>
      <name val="Tahoma"/>
      <family val="2"/>
      <charset val="186"/>
    </font>
    <font>
      <sz val="10"/>
      <color rgb="FFC00000"/>
      <name val="Tahoma"/>
      <family val="2"/>
      <charset val="186"/>
    </font>
    <font>
      <i/>
      <sz val="8"/>
      <name val="Arial"/>
      <family val="2"/>
      <charset val="186"/>
    </font>
    <font>
      <i/>
      <sz val="8"/>
      <color rgb="FFFF0000"/>
      <name val="Arial"/>
      <family val="2"/>
      <charset val="186"/>
    </font>
    <font>
      <b/>
      <i/>
      <sz val="8"/>
      <name val="Arial"/>
      <family val="2"/>
      <charset val="186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6">
    <xf numFmtId="0" fontId="0" fillId="0" borderId="0"/>
    <xf numFmtId="0" fontId="15" fillId="0" borderId="11" applyNumberFormat="0" applyFill="0" applyAlignment="0" applyProtection="0"/>
    <xf numFmtId="0" fontId="14" fillId="0" borderId="0"/>
    <xf numFmtId="0" fontId="10" fillId="0" borderId="0"/>
    <xf numFmtId="0" fontId="10" fillId="0" borderId="0"/>
    <xf numFmtId="0" fontId="10" fillId="0" borderId="0" applyAlignment="0"/>
    <xf numFmtId="0" fontId="10" fillId="0" borderId="0"/>
    <xf numFmtId="0" fontId="10" fillId="0" borderId="0"/>
    <xf numFmtId="0" fontId="10" fillId="0" borderId="0" applyAlignment="0"/>
    <xf numFmtId="0" fontId="10" fillId="0" borderId="0" applyAlignment="0"/>
    <xf numFmtId="0" fontId="10" fillId="0" borderId="0"/>
    <xf numFmtId="0" fontId="3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34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0" fontId="4" fillId="3" borderId="0" xfId="0" applyFont="1" applyFill="1"/>
    <xf numFmtId="0" fontId="9" fillId="0" borderId="0" xfId="0" applyFont="1"/>
    <xf numFmtId="0" fontId="7" fillId="0" borderId="0" xfId="0" applyFont="1"/>
    <xf numFmtId="0" fontId="16" fillId="0" borderId="0" xfId="0" applyFont="1"/>
    <xf numFmtId="49" fontId="9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12" fillId="0" borderId="0" xfId="0" applyFont="1"/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3" fontId="12" fillId="0" borderId="0" xfId="0" applyNumberFormat="1" applyFont="1"/>
    <xf numFmtId="3" fontId="11" fillId="0" borderId="1" xfId="0" applyNumberFormat="1" applyFont="1" applyBorder="1"/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3" fontId="11" fillId="0" borderId="0" xfId="0" applyNumberFormat="1" applyFont="1"/>
    <xf numFmtId="49" fontId="12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horizontal="left"/>
    </xf>
    <xf numFmtId="4" fontId="12" fillId="2" borderId="0" xfId="0" applyNumberFormat="1" applyFont="1" applyFill="1" applyAlignment="1">
      <alignment horizontal="center"/>
    </xf>
    <xf numFmtId="49" fontId="11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/>
    <xf numFmtId="0" fontId="11" fillId="0" borderId="9" xfId="0" applyFont="1" applyBorder="1" applyAlignment="1">
      <alignment horizontal="left"/>
    </xf>
    <xf numFmtId="49" fontId="12" fillId="5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5" borderId="1" xfId="0" applyFont="1" applyFill="1" applyBorder="1"/>
    <xf numFmtId="3" fontId="12" fillId="5" borderId="2" xfId="0" applyNumberFormat="1" applyFont="1" applyFill="1" applyBorder="1"/>
    <xf numFmtId="49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3" fontId="11" fillId="5" borderId="1" xfId="0" applyNumberFormat="1" applyFont="1" applyFill="1" applyBorder="1"/>
    <xf numFmtId="3" fontId="12" fillId="5" borderId="1" xfId="0" applyNumberFormat="1" applyFont="1" applyFill="1" applyBorder="1"/>
    <xf numFmtId="49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1" fillId="3" borderId="1" xfId="0" applyFont="1" applyFill="1" applyBorder="1"/>
    <xf numFmtId="49" fontId="12" fillId="0" borderId="6" xfId="0" applyNumberFormat="1" applyFont="1" applyBorder="1" applyAlignment="1">
      <alignment horizontal="left"/>
    </xf>
    <xf numFmtId="3" fontId="12" fillId="5" borderId="2" xfId="0" applyNumberFormat="1" applyFont="1" applyFill="1" applyBorder="1" applyAlignment="1">
      <alignment horizontal="right"/>
    </xf>
    <xf numFmtId="0" fontId="11" fillId="0" borderId="0" xfId="0" applyFont="1"/>
    <xf numFmtId="3" fontId="12" fillId="5" borderId="1" xfId="0" applyNumberFormat="1" applyFont="1" applyFill="1" applyBorder="1" applyAlignment="1">
      <alignment horizontal="right"/>
    </xf>
    <xf numFmtId="49" fontId="12" fillId="4" borderId="1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/>
    <xf numFmtId="3" fontId="12" fillId="4" borderId="2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4" borderId="2" xfId="0" applyNumberFormat="1" applyFont="1" applyFill="1" applyBorder="1"/>
    <xf numFmtId="3" fontId="12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2" fillId="4" borderId="1" xfId="0" applyNumberFormat="1" applyFont="1" applyFill="1" applyBorder="1" applyAlignment="1">
      <alignment horizontal="right"/>
    </xf>
    <xf numFmtId="3" fontId="12" fillId="4" borderId="1" xfId="0" applyNumberFormat="1" applyFont="1" applyFill="1" applyBorder="1"/>
    <xf numFmtId="0" fontId="11" fillId="4" borderId="1" xfId="0" applyFont="1" applyFill="1" applyBorder="1" applyAlignment="1">
      <alignment horizontal="left"/>
    </xf>
    <xf numFmtId="49" fontId="12" fillId="4" borderId="1" xfId="0" quotePrefix="1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0" borderId="2" xfId="0" applyFont="1" applyBorder="1"/>
    <xf numFmtId="49" fontId="11" fillId="3" borderId="1" xfId="0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/>
    <xf numFmtId="3" fontId="11" fillId="5" borderId="2" xfId="0" applyNumberFormat="1" applyFont="1" applyFill="1" applyBorder="1"/>
    <xf numFmtId="0" fontId="12" fillId="4" borderId="0" xfId="0" applyFont="1" applyFill="1"/>
    <xf numFmtId="0" fontId="11" fillId="3" borderId="1" xfId="0" applyFont="1" applyFill="1" applyBorder="1" applyAlignment="1">
      <alignment horizontal="left"/>
    </xf>
    <xf numFmtId="3" fontId="12" fillId="0" borderId="2" xfId="0" applyNumberFormat="1" applyFont="1" applyBorder="1" applyAlignment="1">
      <alignment horizontal="right"/>
    </xf>
    <xf numFmtId="49" fontId="12" fillId="3" borderId="1" xfId="0" applyNumberFormat="1" applyFont="1" applyFill="1" applyBorder="1" applyAlignment="1">
      <alignment horizontal="left"/>
    </xf>
    <xf numFmtId="49" fontId="12" fillId="3" borderId="1" xfId="0" quotePrefix="1" applyNumberFormat="1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49" fontId="12" fillId="0" borderId="1" xfId="0" quotePrefix="1" applyNumberFormat="1" applyFont="1" applyBorder="1" applyAlignment="1">
      <alignment horizontal="left"/>
    </xf>
    <xf numFmtId="3" fontId="18" fillId="0" borderId="1" xfId="0" applyNumberFormat="1" applyFont="1" applyBorder="1"/>
    <xf numFmtId="0" fontId="11" fillId="3" borderId="2" xfId="0" applyFont="1" applyFill="1" applyBorder="1"/>
    <xf numFmtId="49" fontId="18" fillId="0" borderId="1" xfId="0" applyNumberFormat="1" applyFont="1" applyBorder="1" applyAlignment="1">
      <alignment horizontal="left"/>
    </xf>
    <xf numFmtId="0" fontId="12" fillId="0" borderId="2" xfId="0" applyFont="1" applyBorder="1"/>
    <xf numFmtId="0" fontId="18" fillId="0" borderId="1" xfId="0" applyFont="1" applyBorder="1" applyAlignment="1">
      <alignment horizontal="left"/>
    </xf>
    <xf numFmtId="0" fontId="12" fillId="3" borderId="2" xfId="0" applyFont="1" applyFill="1" applyBorder="1"/>
    <xf numFmtId="49" fontId="12" fillId="3" borderId="9" xfId="0" quotePrefix="1" applyNumberFormat="1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9" xfId="0" applyFont="1" applyFill="1" applyBorder="1"/>
    <xf numFmtId="0" fontId="12" fillId="4" borderId="6" xfId="0" applyFont="1" applyFill="1" applyBorder="1"/>
    <xf numFmtId="0" fontId="11" fillId="0" borderId="12" xfId="0" applyFont="1" applyBorder="1"/>
    <xf numFmtId="0" fontId="11" fillId="0" borderId="6" xfId="0" applyFont="1" applyBorder="1"/>
    <xf numFmtId="0" fontId="11" fillId="0" borderId="2" xfId="0" applyFont="1" applyBorder="1" applyAlignment="1">
      <alignment horizontal="left"/>
    </xf>
    <xf numFmtId="0" fontId="11" fillId="0" borderId="9" xfId="0" applyFont="1" applyBorder="1"/>
    <xf numFmtId="49" fontId="11" fillId="0" borderId="1" xfId="0" quotePrefix="1" applyNumberFormat="1" applyFont="1" applyBorder="1" applyAlignment="1">
      <alignment horizontal="left"/>
    </xf>
    <xf numFmtId="49" fontId="11" fillId="6" borderId="1" xfId="0" quotePrefix="1" applyNumberFormat="1" applyFont="1" applyFill="1" applyBorder="1" applyAlignment="1">
      <alignment horizontal="left"/>
    </xf>
    <xf numFmtId="49" fontId="11" fillId="0" borderId="6" xfId="0" quotePrefix="1" applyNumberFormat="1" applyFont="1" applyBorder="1" applyAlignment="1">
      <alignment horizontal="left"/>
    </xf>
    <xf numFmtId="49" fontId="12" fillId="4" borderId="6" xfId="0" applyNumberFormat="1" applyFont="1" applyFill="1" applyBorder="1" applyAlignment="1">
      <alignment horizontal="left"/>
    </xf>
    <xf numFmtId="0" fontId="12" fillId="4" borderId="6" xfId="0" quotePrefix="1" applyFont="1" applyFill="1" applyBorder="1" applyAlignment="1">
      <alignment horizontal="left"/>
    </xf>
    <xf numFmtId="4" fontId="12" fillId="2" borderId="1" xfId="0" applyNumberFormat="1" applyFont="1" applyFill="1" applyBorder="1" applyAlignment="1">
      <alignment horizontal="left"/>
    </xf>
    <xf numFmtId="49" fontId="12" fillId="0" borderId="10" xfId="0" applyNumberFormat="1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" fontId="12" fillId="0" borderId="10" xfId="0" applyNumberFormat="1" applyFont="1" applyBorder="1" applyAlignment="1">
      <alignment horizontal="left"/>
    </xf>
    <xf numFmtId="0" fontId="11" fillId="7" borderId="1" xfId="0" applyFont="1" applyFill="1" applyBorder="1"/>
    <xf numFmtId="3" fontId="12" fillId="0" borderId="1" xfId="0" applyNumberFormat="1" applyFont="1" applyBorder="1"/>
    <xf numFmtId="3" fontId="11" fillId="0" borderId="2" xfId="0" applyNumberFormat="1" applyFont="1" applyBorder="1"/>
    <xf numFmtId="49" fontId="12" fillId="4" borderId="0" xfId="0" applyNumberFormat="1" applyFont="1" applyFill="1" applyAlignment="1">
      <alignment horizontal="left"/>
    </xf>
    <xf numFmtId="0" fontId="12" fillId="4" borderId="2" xfId="0" applyFont="1" applyFill="1" applyBorder="1"/>
    <xf numFmtId="0" fontId="4" fillId="0" borderId="1" xfId="0" applyFont="1" applyBorder="1"/>
    <xf numFmtId="3" fontId="12" fillId="0" borderId="2" xfId="0" applyNumberFormat="1" applyFont="1" applyBorder="1"/>
    <xf numFmtId="49" fontId="21" fillId="4" borderId="1" xfId="0" applyNumberFormat="1" applyFont="1" applyFill="1" applyBorder="1" applyAlignment="1">
      <alignment horizontal="left"/>
    </xf>
    <xf numFmtId="49" fontId="21" fillId="4" borderId="1" xfId="0" quotePrefix="1" applyNumberFormat="1" applyFont="1" applyFill="1" applyBorder="1" applyAlignment="1">
      <alignment horizontal="left"/>
    </xf>
    <xf numFmtId="0" fontId="22" fillId="0" borderId="0" xfId="0" applyFont="1"/>
    <xf numFmtId="3" fontId="11" fillId="4" borderId="1" xfId="0" applyNumberFormat="1" applyFont="1" applyFill="1" applyBorder="1" applyAlignment="1">
      <alignment horizontal="right"/>
    </xf>
    <xf numFmtId="3" fontId="12" fillId="4" borderId="0" xfId="0" applyNumberFormat="1" applyFont="1" applyFill="1"/>
    <xf numFmtId="49" fontId="11" fillId="0" borderId="9" xfId="0" quotePrefix="1" applyNumberFormat="1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left"/>
    </xf>
    <xf numFmtId="3" fontId="11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49" fontId="12" fillId="0" borderId="9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3" fontId="11" fillId="5" borderId="1" xfId="0" applyNumberFormat="1" applyFont="1" applyFill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3" fontId="11" fillId="4" borderId="2" xfId="0" applyNumberFormat="1" applyFont="1" applyFill="1" applyBorder="1"/>
    <xf numFmtId="49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4" fillId="0" borderId="0" xfId="0" applyFont="1"/>
    <xf numFmtId="3" fontId="23" fillId="0" borderId="0" xfId="0" applyNumberFormat="1" applyFont="1" applyAlignment="1">
      <alignment horizontal="right"/>
    </xf>
    <xf numFmtId="0" fontId="10" fillId="0" borderId="1" xfId="0" applyFont="1" applyBorder="1"/>
    <xf numFmtId="1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49" fontId="12" fillId="5" borderId="6" xfId="0" applyNumberFormat="1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5" borderId="6" xfId="0" applyFont="1" applyFill="1" applyBorder="1"/>
    <xf numFmtId="49" fontId="12" fillId="2" borderId="9" xfId="0" applyNumberFormat="1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4" fontId="12" fillId="2" borderId="9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left"/>
    </xf>
    <xf numFmtId="0" fontId="19" fillId="0" borderId="9" xfId="0" applyFont="1" applyBorder="1"/>
    <xf numFmtId="3" fontId="11" fillId="4" borderId="1" xfId="0" applyNumberFormat="1" applyFont="1" applyFill="1" applyBorder="1"/>
    <xf numFmtId="49" fontId="19" fillId="0" borderId="9" xfId="0" applyNumberFormat="1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2" fillId="0" borderId="9" xfId="0" applyFont="1" applyBorder="1"/>
    <xf numFmtId="3" fontId="26" fillId="0" borderId="1" xfId="0" applyNumberFormat="1" applyFont="1" applyBorder="1" applyAlignment="1">
      <alignment horizontal="right"/>
    </xf>
    <xf numFmtId="3" fontId="11" fillId="8" borderId="1" xfId="0" applyNumberFormat="1" applyFont="1" applyFill="1" applyBorder="1"/>
    <xf numFmtId="3" fontId="11" fillId="8" borderId="2" xfId="0" applyNumberFormat="1" applyFont="1" applyFill="1" applyBorder="1"/>
    <xf numFmtId="3" fontId="12" fillId="8" borderId="1" xfId="0" applyNumberFormat="1" applyFont="1" applyFill="1" applyBorder="1"/>
    <xf numFmtId="3" fontId="11" fillId="9" borderId="1" xfId="0" applyNumberFormat="1" applyFont="1" applyFill="1" applyBorder="1"/>
    <xf numFmtId="3" fontId="12" fillId="9" borderId="1" xfId="0" applyNumberFormat="1" applyFont="1" applyFill="1" applyBorder="1"/>
    <xf numFmtId="0" fontId="28" fillId="0" borderId="0" xfId="0" applyFont="1"/>
    <xf numFmtId="3" fontId="11" fillId="10" borderId="1" xfId="0" applyNumberFormat="1" applyFont="1" applyFill="1" applyBorder="1"/>
    <xf numFmtId="49" fontId="28" fillId="0" borderId="1" xfId="0" applyNumberFormat="1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9" fillId="0" borderId="1" xfId="0" applyFont="1" applyBorder="1"/>
    <xf numFmtId="3" fontId="29" fillId="0" borderId="1" xfId="0" applyNumberFormat="1" applyFont="1" applyBorder="1"/>
    <xf numFmtId="1" fontId="29" fillId="0" borderId="1" xfId="0" applyNumberFormat="1" applyFont="1" applyBorder="1"/>
    <xf numFmtId="3" fontId="29" fillId="0" borderId="2" xfId="0" applyNumberFormat="1" applyFont="1" applyBorder="1"/>
    <xf numFmtId="0" fontId="29" fillId="0" borderId="0" xfId="0" applyFont="1"/>
    <xf numFmtId="3" fontId="29" fillId="0" borderId="1" xfId="0" applyNumberFormat="1" applyFont="1" applyBorder="1" applyAlignment="1">
      <alignment horizontal="right"/>
    </xf>
    <xf numFmtId="3" fontId="12" fillId="10" borderId="1" xfId="0" applyNumberFormat="1" applyFont="1" applyFill="1" applyBorder="1"/>
    <xf numFmtId="49" fontId="26" fillId="0" borderId="1" xfId="0" applyNumberFormat="1" applyFont="1" applyBorder="1" applyAlignment="1">
      <alignment horizontal="left"/>
    </xf>
    <xf numFmtId="3" fontId="28" fillId="0" borderId="1" xfId="0" applyNumberFormat="1" applyFont="1" applyBorder="1" applyAlignment="1">
      <alignment horizontal="right"/>
    </xf>
    <xf numFmtId="3" fontId="28" fillId="0" borderId="1" xfId="0" applyNumberFormat="1" applyFont="1" applyBorder="1"/>
    <xf numFmtId="0" fontId="29" fillId="0" borderId="2" xfId="0" applyFont="1" applyBorder="1"/>
    <xf numFmtId="49" fontId="29" fillId="0" borderId="1" xfId="0" applyNumberFormat="1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8" fillId="0" borderId="1" xfId="0" applyFont="1" applyBorder="1"/>
    <xf numFmtId="3" fontId="25" fillId="0" borderId="1" xfId="0" applyNumberFormat="1" applyFont="1" applyBorder="1"/>
    <xf numFmtId="49" fontId="29" fillId="3" borderId="1" xfId="0" applyNumberFormat="1" applyFont="1" applyFill="1" applyBorder="1" applyAlignment="1">
      <alignment horizontal="left"/>
    </xf>
    <xf numFmtId="0" fontId="29" fillId="3" borderId="1" xfId="0" applyFont="1" applyFill="1" applyBorder="1" applyAlignment="1">
      <alignment horizontal="left"/>
    </xf>
    <xf numFmtId="0" fontId="29" fillId="3" borderId="1" xfId="0" applyFont="1" applyFill="1" applyBorder="1"/>
    <xf numFmtId="49" fontId="29" fillId="3" borderId="1" xfId="0" quotePrefix="1" applyNumberFormat="1" applyFont="1" applyFill="1" applyBorder="1" applyAlignment="1">
      <alignment horizontal="left"/>
    </xf>
    <xf numFmtId="49" fontId="28" fillId="3" borderId="1" xfId="0" quotePrefix="1" applyNumberFormat="1" applyFont="1" applyFill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49" fontId="28" fillId="3" borderId="1" xfId="0" applyNumberFormat="1" applyFont="1" applyFill="1" applyBorder="1" applyAlignment="1">
      <alignment horizontal="left"/>
    </xf>
    <xf numFmtId="0" fontId="28" fillId="3" borderId="0" xfId="0" applyFont="1" applyFill="1"/>
    <xf numFmtId="3" fontId="32" fillId="0" borderId="1" xfId="0" applyNumberFormat="1" applyFont="1" applyBorder="1" applyAlignment="1">
      <alignment horizontal="right"/>
    </xf>
    <xf numFmtId="3" fontId="29" fillId="0" borderId="0" xfId="0" applyNumberFormat="1" applyFont="1"/>
    <xf numFmtId="49" fontId="29" fillId="0" borderId="1" xfId="0" quotePrefix="1" applyNumberFormat="1" applyFont="1" applyBorder="1" applyAlignment="1">
      <alignment horizontal="left"/>
    </xf>
    <xf numFmtId="0" fontId="11" fillId="8" borderId="0" xfId="0" applyFont="1" applyFill="1"/>
    <xf numFmtId="9" fontId="30" fillId="0" borderId="0" xfId="14" applyFont="1"/>
    <xf numFmtId="9" fontId="29" fillId="0" borderId="0" xfId="25" applyFont="1" applyFill="1"/>
    <xf numFmtId="49" fontId="12" fillId="5" borderId="13" xfId="1" quotePrefix="1" applyNumberFormat="1" applyFont="1" applyFill="1" applyBorder="1"/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0" borderId="1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32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11" fillId="9" borderId="0" xfId="0" applyFont="1" applyFill="1"/>
    <xf numFmtId="3" fontId="28" fillId="0" borderId="0" xfId="0" applyNumberFormat="1" applyFont="1"/>
    <xf numFmtId="0" fontId="9" fillId="4" borderId="1" xfId="0" applyFont="1" applyFill="1" applyBorder="1" applyAlignment="1">
      <alignment horizontal="left"/>
    </xf>
    <xf numFmtId="3" fontId="11" fillId="11" borderId="1" xfId="0" applyNumberFormat="1" applyFont="1" applyFill="1" applyBorder="1"/>
    <xf numFmtId="3" fontId="12" fillId="11" borderId="1" xfId="0" applyNumberFormat="1" applyFont="1" applyFill="1" applyBorder="1"/>
    <xf numFmtId="3" fontId="11" fillId="12" borderId="1" xfId="0" applyNumberFormat="1" applyFont="1" applyFill="1" applyBorder="1"/>
    <xf numFmtId="3" fontId="12" fillId="12" borderId="1" xfId="0" applyNumberFormat="1" applyFont="1" applyFill="1" applyBorder="1"/>
    <xf numFmtId="3" fontId="11" fillId="12" borderId="2" xfId="0" applyNumberFormat="1" applyFont="1" applyFill="1" applyBorder="1"/>
    <xf numFmtId="3" fontId="11" fillId="10" borderId="2" xfId="0" applyNumberFormat="1" applyFont="1" applyFill="1" applyBorder="1"/>
    <xf numFmtId="3" fontId="8" fillId="0" borderId="0" xfId="0" applyNumberFormat="1" applyFont="1"/>
    <xf numFmtId="3" fontId="30" fillId="0" borderId="0" xfId="14" applyNumberFormat="1" applyFont="1"/>
    <xf numFmtId="3" fontId="11" fillId="9" borderId="2" xfId="0" applyNumberFormat="1" applyFont="1" applyFill="1" applyBorder="1"/>
    <xf numFmtId="3" fontId="11" fillId="9" borderId="0" xfId="0" applyNumberFormat="1" applyFont="1" applyFill="1"/>
    <xf numFmtId="1" fontId="8" fillId="0" borderId="1" xfId="0" applyNumberFormat="1" applyFont="1" applyBorder="1"/>
    <xf numFmtId="49" fontId="12" fillId="9" borderId="1" xfId="0" applyNumberFormat="1" applyFont="1" applyFill="1" applyBorder="1" applyAlignment="1">
      <alignment horizontal="left"/>
    </xf>
    <xf numFmtId="0" fontId="12" fillId="9" borderId="1" xfId="0" applyFont="1" applyFill="1" applyBorder="1" applyAlignment="1">
      <alignment horizontal="left"/>
    </xf>
    <xf numFmtId="0" fontId="12" fillId="9" borderId="1" xfId="0" applyFont="1" applyFill="1" applyBorder="1"/>
    <xf numFmtId="3" fontId="12" fillId="9" borderId="1" xfId="0" applyNumberFormat="1" applyFont="1" applyFill="1" applyBorder="1" applyAlignment="1">
      <alignment horizontal="right"/>
    </xf>
    <xf numFmtId="0" fontId="11" fillId="8" borderId="1" xfId="0" applyFont="1" applyFill="1" applyBorder="1"/>
    <xf numFmtId="0" fontId="8" fillId="0" borderId="12" xfId="0" applyFont="1" applyBorder="1"/>
    <xf numFmtId="0" fontId="8" fillId="0" borderId="1" xfId="0" applyFont="1" applyBorder="1" applyAlignment="1">
      <alignment horizontal="right"/>
    </xf>
    <xf numFmtId="3" fontId="8" fillId="8" borderId="1" xfId="0" applyNumberFormat="1" applyFont="1" applyFill="1" applyBorder="1"/>
    <xf numFmtId="0" fontId="11" fillId="0" borderId="14" xfId="0" applyFont="1" applyBorder="1"/>
    <xf numFmtId="0" fontId="34" fillId="0" borderId="2" xfId="0" applyFont="1" applyBorder="1" applyAlignment="1">
      <alignment horizontal="left"/>
    </xf>
    <xf numFmtId="3" fontId="8" fillId="10" borderId="1" xfId="0" applyNumberFormat="1" applyFont="1" applyFill="1" applyBorder="1"/>
    <xf numFmtId="49" fontId="18" fillId="0" borderId="1" xfId="0" quotePrefix="1" applyNumberFormat="1" applyFont="1" applyBorder="1" applyAlignment="1">
      <alignment horizontal="right"/>
    </xf>
    <xf numFmtId="49" fontId="18" fillId="0" borderId="1" xfId="0" applyNumberFormat="1" applyFont="1" applyBorder="1" applyAlignment="1">
      <alignment horizontal="right"/>
    </xf>
    <xf numFmtId="3" fontId="12" fillId="9" borderId="2" xfId="0" applyNumberFormat="1" applyFont="1" applyFill="1" applyBorder="1"/>
    <xf numFmtId="3" fontId="29" fillId="0" borderId="1" xfId="0" applyNumberFormat="1" applyFont="1" applyBorder="1" applyAlignment="1">
      <alignment horizontal="left"/>
    </xf>
    <xf numFmtId="3" fontId="10" fillId="9" borderId="0" xfId="14" applyNumberFormat="1" applyFont="1" applyFill="1"/>
    <xf numFmtId="9" fontId="35" fillId="0" borderId="0" xfId="14" applyFont="1"/>
    <xf numFmtId="3" fontId="28" fillId="15" borderId="0" xfId="0" applyNumberFormat="1" applyFont="1" applyFill="1"/>
    <xf numFmtId="3" fontId="28" fillId="15" borderId="1" xfId="0" applyNumberFormat="1" applyFont="1" applyFill="1" applyBorder="1"/>
    <xf numFmtId="3" fontId="12" fillId="15" borderId="2" xfId="0" applyNumberFormat="1" applyFont="1" applyFill="1" applyBorder="1"/>
    <xf numFmtId="3" fontId="12" fillId="15" borderId="2" xfId="0" applyNumberFormat="1" applyFont="1" applyFill="1" applyBorder="1" applyAlignment="1">
      <alignment horizontal="right"/>
    </xf>
    <xf numFmtId="3" fontId="11" fillId="15" borderId="2" xfId="0" applyNumberFormat="1" applyFont="1" applyFill="1" applyBorder="1"/>
    <xf numFmtId="3" fontId="12" fillId="15" borderId="1" xfId="0" applyNumberFormat="1" applyFont="1" applyFill="1" applyBorder="1"/>
    <xf numFmtId="3" fontId="11" fillId="15" borderId="1" xfId="0" applyNumberFormat="1" applyFont="1" applyFill="1" applyBorder="1"/>
    <xf numFmtId="3" fontId="8" fillId="15" borderId="1" xfId="0" applyNumberFormat="1" applyFont="1" applyFill="1" applyBorder="1"/>
    <xf numFmtId="3" fontId="18" fillId="15" borderId="1" xfId="0" applyNumberFormat="1" applyFont="1" applyFill="1" applyBorder="1"/>
    <xf numFmtId="3" fontId="29" fillId="15" borderId="1" xfId="0" applyNumberFormat="1" applyFont="1" applyFill="1" applyBorder="1"/>
    <xf numFmtId="3" fontId="29" fillId="15" borderId="2" xfId="0" applyNumberFormat="1" applyFont="1" applyFill="1" applyBorder="1"/>
    <xf numFmtId="3" fontId="11" fillId="8" borderId="0" xfId="0" applyNumberFormat="1" applyFont="1" applyFill="1"/>
    <xf numFmtId="3" fontId="11" fillId="4" borderId="0" xfId="0" applyNumberFormat="1" applyFont="1" applyFill="1"/>
    <xf numFmtId="3" fontId="11" fillId="10" borderId="0" xfId="0" applyNumberFormat="1" applyFont="1" applyFill="1"/>
    <xf numFmtId="3" fontId="26" fillId="15" borderId="2" xfId="0" applyNumberFormat="1" applyFont="1" applyFill="1" applyBorder="1"/>
    <xf numFmtId="3" fontId="25" fillId="15" borderId="2" xfId="0" applyNumberFormat="1" applyFont="1" applyFill="1" applyBorder="1"/>
    <xf numFmtId="3" fontId="28" fillId="15" borderId="2" xfId="0" applyNumberFormat="1" applyFont="1" applyFill="1" applyBorder="1"/>
    <xf numFmtId="3" fontId="8" fillId="15" borderId="2" xfId="0" applyNumberFormat="1" applyFont="1" applyFill="1" applyBorder="1"/>
    <xf numFmtId="3" fontId="12" fillId="4" borderId="5" xfId="0" applyNumberFormat="1" applyFont="1" applyFill="1" applyBorder="1"/>
    <xf numFmtId="3" fontId="11" fillId="13" borderId="2" xfId="0" applyNumberFormat="1" applyFont="1" applyFill="1" applyBorder="1"/>
    <xf numFmtId="3" fontId="11" fillId="0" borderId="9" xfId="0" applyNumberFormat="1" applyFont="1" applyBorder="1"/>
    <xf numFmtId="0" fontId="11" fillId="9" borderId="1" xfId="0" applyFont="1" applyFill="1" applyBorder="1"/>
    <xf numFmtId="3" fontId="29" fillId="12" borderId="1" xfId="0" applyNumberFormat="1" applyFont="1" applyFill="1" applyBorder="1"/>
    <xf numFmtId="3" fontId="8" fillId="12" borderId="1" xfId="0" applyNumberFormat="1" applyFont="1" applyFill="1" applyBorder="1"/>
    <xf numFmtId="3" fontId="11" fillId="5" borderId="4" xfId="0" applyNumberFormat="1" applyFont="1" applyFill="1" applyBorder="1"/>
    <xf numFmtId="3" fontId="11" fillId="0" borderId="4" xfId="0" applyNumberFormat="1" applyFont="1" applyBorder="1"/>
    <xf numFmtId="3" fontId="12" fillId="4" borderId="3" xfId="0" applyNumberFormat="1" applyFont="1" applyFill="1" applyBorder="1"/>
    <xf numFmtId="3" fontId="12" fillId="4" borderId="4" xfId="0" applyNumberFormat="1" applyFont="1" applyFill="1" applyBorder="1"/>
    <xf numFmtId="3" fontId="12" fillId="5" borderId="3" xfId="0" applyNumberFormat="1" applyFont="1" applyFill="1" applyBorder="1" applyAlignment="1">
      <alignment horizontal="right"/>
    </xf>
    <xf numFmtId="3" fontId="28" fillId="12" borderId="1" xfId="0" applyNumberFormat="1" applyFont="1" applyFill="1" applyBorder="1"/>
    <xf numFmtId="0" fontId="12" fillId="14" borderId="1" xfId="0" applyFont="1" applyFill="1" applyBorder="1" applyAlignment="1">
      <alignment horizontal="left"/>
    </xf>
    <xf numFmtId="0" fontId="18" fillId="14" borderId="1" xfId="0" applyFont="1" applyFill="1" applyBorder="1" applyAlignment="1">
      <alignment horizontal="left"/>
    </xf>
    <xf numFmtId="0" fontId="11" fillId="14" borderId="1" xfId="0" applyFont="1" applyFill="1" applyBorder="1" applyAlignment="1">
      <alignment horizontal="left"/>
    </xf>
    <xf numFmtId="3" fontId="8" fillId="14" borderId="1" xfId="0" applyNumberFormat="1" applyFont="1" applyFill="1" applyBorder="1"/>
    <xf numFmtId="49" fontId="29" fillId="14" borderId="1" xfId="0" applyNumberFormat="1" applyFont="1" applyFill="1" applyBorder="1" applyAlignment="1">
      <alignment horizontal="left"/>
    </xf>
    <xf numFmtId="3" fontId="11" fillId="14" borderId="1" xfId="0" applyNumberFormat="1" applyFont="1" applyFill="1" applyBorder="1"/>
    <xf numFmtId="3" fontId="11" fillId="16" borderId="1" xfId="0" applyNumberFormat="1" applyFont="1" applyFill="1" applyBorder="1"/>
    <xf numFmtId="3" fontId="12" fillId="16" borderId="1" xfId="0" applyNumberFormat="1" applyFont="1" applyFill="1" applyBorder="1"/>
    <xf numFmtId="3" fontId="28" fillId="13" borderId="1" xfId="0" applyNumberFormat="1" applyFont="1" applyFill="1" applyBorder="1"/>
    <xf numFmtId="4" fontId="11" fillId="14" borderId="4" xfId="0" applyNumberFormat="1" applyFont="1" applyFill="1" applyBorder="1"/>
    <xf numFmtId="0" fontId="11" fillId="0" borderId="1" xfId="0" quotePrefix="1" applyFont="1" applyBorder="1" applyAlignment="1">
      <alignment horizontal="left"/>
    </xf>
    <xf numFmtId="0" fontId="11" fillId="0" borderId="4" xfId="0" quotePrefix="1" applyFont="1" applyBorder="1" applyAlignment="1">
      <alignment horizontal="left"/>
    </xf>
    <xf numFmtId="164" fontId="12" fillId="4" borderId="2" xfId="0" applyNumberFormat="1" applyFont="1" applyFill="1" applyBorder="1"/>
    <xf numFmtId="164" fontId="12" fillId="0" borderId="2" xfId="0" applyNumberFormat="1" applyFont="1" applyBorder="1"/>
    <xf numFmtId="164" fontId="12" fillId="5" borderId="2" xfId="0" applyNumberFormat="1" applyFont="1" applyFill="1" applyBorder="1" applyAlignment="1">
      <alignment horizontal="right"/>
    </xf>
    <xf numFmtId="164" fontId="11" fillId="10" borderId="1" xfId="0" applyNumberFormat="1" applyFont="1" applyFill="1" applyBorder="1"/>
    <xf numFmtId="164" fontId="11" fillId="5" borderId="2" xfId="0" applyNumberFormat="1" applyFont="1" applyFill="1" applyBorder="1"/>
    <xf numFmtId="3" fontId="12" fillId="0" borderId="0" xfId="0" applyNumberFormat="1" applyFont="1" applyAlignment="1">
      <alignment horizontal="center" wrapText="1"/>
    </xf>
    <xf numFmtId="164" fontId="12" fillId="0" borderId="0" xfId="0" applyNumberFormat="1" applyFont="1"/>
    <xf numFmtId="3" fontId="12" fillId="9" borderId="0" xfId="0" applyNumberFormat="1" applyFont="1" applyFill="1"/>
    <xf numFmtId="3" fontId="8" fillId="14" borderId="0" xfId="0" applyNumberFormat="1" applyFont="1" applyFill="1"/>
    <xf numFmtId="3" fontId="8" fillId="10" borderId="0" xfId="0" applyNumberFormat="1" applyFont="1" applyFill="1"/>
    <xf numFmtId="4" fontId="11" fillId="14" borderId="0" xfId="0" applyNumberFormat="1" applyFont="1" applyFill="1"/>
    <xf numFmtId="0" fontId="8" fillId="0" borderId="1" xfId="3" applyFont="1" applyBorder="1"/>
    <xf numFmtId="3" fontId="29" fillId="10" borderId="1" xfId="0" applyNumberFormat="1" applyFont="1" applyFill="1" applyBorder="1"/>
    <xf numFmtId="3" fontId="11" fillId="17" borderId="2" xfId="0" applyNumberFormat="1" applyFont="1" applyFill="1" applyBorder="1"/>
    <xf numFmtId="3" fontId="11" fillId="17" borderId="1" xfId="0" applyNumberFormat="1" applyFont="1" applyFill="1" applyBorder="1"/>
    <xf numFmtId="3" fontId="12" fillId="18" borderId="1" xfId="0" applyNumberFormat="1" applyFont="1" applyFill="1" applyBorder="1"/>
    <xf numFmtId="0" fontId="7" fillId="0" borderId="1" xfId="0" quotePrefix="1" applyFont="1" applyBorder="1" applyAlignment="1">
      <alignment horizontal="left"/>
    </xf>
    <xf numFmtId="4" fontId="11" fillId="0" borderId="1" xfId="0" applyNumberFormat="1" applyFont="1" applyBorder="1"/>
    <xf numFmtId="0" fontId="28" fillId="0" borderId="1" xfId="0" quotePrefix="1" applyFont="1" applyBorder="1" applyAlignment="1">
      <alignment horizontal="left"/>
    </xf>
    <xf numFmtId="165" fontId="29" fillId="0" borderId="0" xfId="25" applyNumberFormat="1" applyFont="1"/>
    <xf numFmtId="3" fontId="26" fillId="9" borderId="1" xfId="0" applyNumberFormat="1" applyFont="1" applyFill="1" applyBorder="1"/>
    <xf numFmtId="3" fontId="11" fillId="15" borderId="0" xfId="0" applyNumberFormat="1" applyFont="1" applyFill="1"/>
    <xf numFmtId="0" fontId="17" fillId="0" borderId="1" xfId="0" applyFont="1" applyBorder="1"/>
    <xf numFmtId="3" fontId="11" fillId="18" borderId="1" xfId="0" applyNumberFormat="1" applyFont="1" applyFill="1" applyBorder="1"/>
    <xf numFmtId="3" fontId="11" fillId="4" borderId="0" xfId="0" applyNumberFormat="1" applyFont="1" applyFill="1" applyAlignment="1">
      <alignment horizontal="right"/>
    </xf>
    <xf numFmtId="14" fontId="12" fillId="4" borderId="1" xfId="0" applyNumberFormat="1" applyFont="1" applyFill="1" applyBorder="1" applyAlignment="1">
      <alignment horizontal="right" wrapText="1"/>
    </xf>
    <xf numFmtId="3" fontId="29" fillId="0" borderId="0" xfId="14" applyNumberFormat="1" applyFont="1" applyFill="1"/>
    <xf numFmtId="3" fontId="28" fillId="0" borderId="2" xfId="0" applyNumberFormat="1" applyFont="1" applyBorder="1"/>
    <xf numFmtId="3" fontId="11" fillId="0" borderId="4" xfId="0" applyNumberFormat="1" applyFont="1" applyBorder="1" applyAlignment="1">
      <alignment horizontal="left"/>
    </xf>
    <xf numFmtId="3" fontId="11" fillId="0" borderId="4" xfId="0" quotePrefix="1" applyNumberFormat="1" applyFont="1" applyBorder="1" applyAlignment="1">
      <alignment horizontal="left"/>
    </xf>
    <xf numFmtId="4" fontId="8" fillId="0" borderId="1" xfId="0" applyNumberFormat="1" applyFont="1" applyBorder="1"/>
    <xf numFmtId="4" fontId="29" fillId="0" borderId="1" xfId="0" applyNumberFormat="1" applyFont="1" applyBorder="1"/>
    <xf numFmtId="3" fontId="29" fillId="15" borderId="7" xfId="0" applyNumberFormat="1" applyFont="1" applyFill="1" applyBorder="1"/>
    <xf numFmtId="3" fontId="11" fillId="19" borderId="1" xfId="0" applyNumberFormat="1" applyFont="1" applyFill="1" applyBorder="1"/>
    <xf numFmtId="3" fontId="11" fillId="15" borderId="9" xfId="0" applyNumberFormat="1" applyFont="1" applyFill="1" applyBorder="1"/>
    <xf numFmtId="0" fontId="12" fillId="0" borderId="0" xfId="0" applyFont="1" applyAlignment="1">
      <alignment horizontal="left"/>
    </xf>
    <xf numFmtId="3" fontId="11" fillId="19" borderId="2" xfId="0" applyNumberFormat="1" applyFont="1" applyFill="1" applyBorder="1"/>
    <xf numFmtId="3" fontId="8" fillId="19" borderId="2" xfId="0" applyNumberFormat="1" applyFont="1" applyFill="1" applyBorder="1"/>
    <xf numFmtId="3" fontId="11" fillId="0" borderId="3" xfId="0" applyNumberFormat="1" applyFont="1" applyBorder="1"/>
    <xf numFmtId="0" fontId="8" fillId="3" borderId="1" xfId="0" applyFont="1" applyFill="1" applyBorder="1"/>
    <xf numFmtId="49" fontId="12" fillId="11" borderId="1" xfId="0" quotePrefix="1" applyNumberFormat="1" applyFont="1" applyFill="1" applyBorder="1" applyAlignment="1">
      <alignment horizontal="left"/>
    </xf>
    <xf numFmtId="3" fontId="11" fillId="8" borderId="1" xfId="0" applyNumberFormat="1" applyFont="1" applyFill="1" applyBorder="1" applyAlignment="1">
      <alignment horizontal="right"/>
    </xf>
    <xf numFmtId="0" fontId="25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3" fontId="31" fillId="0" borderId="0" xfId="14" applyNumberFormat="1" applyFont="1"/>
    <xf numFmtId="0" fontId="11" fillId="12" borderId="6" xfId="0" applyFont="1" applyFill="1" applyBorder="1" applyAlignment="1">
      <alignment horizontal="left"/>
    </xf>
    <xf numFmtId="0" fontId="11" fillId="11" borderId="1" xfId="0" applyFont="1" applyFill="1" applyBorder="1" applyAlignment="1">
      <alignment horizontal="left"/>
    </xf>
    <xf numFmtId="3" fontId="11" fillId="14" borderId="2" xfId="0" applyNumberFormat="1" applyFont="1" applyFill="1" applyBorder="1"/>
    <xf numFmtId="0" fontId="10" fillId="0" borderId="1" xfId="0" applyFont="1" applyBorder="1" applyAlignment="1">
      <alignment wrapText="1"/>
    </xf>
    <xf numFmtId="10" fontId="36" fillId="0" borderId="0" xfId="14" applyNumberFormat="1" applyFont="1" applyFill="1"/>
    <xf numFmtId="3" fontId="31" fillId="0" borderId="0" xfId="25" applyNumberFormat="1" applyFont="1"/>
    <xf numFmtId="9" fontId="31" fillId="0" borderId="0" xfId="14" applyFont="1"/>
    <xf numFmtId="3" fontId="12" fillId="10" borderId="2" xfId="0" applyNumberFormat="1" applyFont="1" applyFill="1" applyBorder="1"/>
    <xf numFmtId="3" fontId="32" fillId="15" borderId="1" xfId="0" applyNumberFormat="1" applyFont="1" applyFill="1" applyBorder="1"/>
    <xf numFmtId="164" fontId="12" fillId="10" borderId="1" xfId="0" applyNumberFormat="1" applyFont="1" applyFill="1" applyBorder="1"/>
    <xf numFmtId="3" fontId="13" fillId="15" borderId="1" xfId="0" applyNumberFormat="1" applyFont="1" applyFill="1" applyBorder="1"/>
    <xf numFmtId="3" fontId="19" fillId="0" borderId="0" xfId="0" applyNumberFormat="1" applyFont="1"/>
    <xf numFmtId="3" fontId="8" fillId="18" borderId="1" xfId="0" applyNumberFormat="1" applyFont="1" applyFill="1" applyBorder="1"/>
    <xf numFmtId="3" fontId="29" fillId="18" borderId="1" xfId="0" applyNumberFormat="1" applyFont="1" applyFill="1" applyBorder="1"/>
    <xf numFmtId="3" fontId="12" fillId="14" borderId="1" xfId="0" applyNumberFormat="1" applyFont="1" applyFill="1" applyBorder="1"/>
    <xf numFmtId="4" fontId="12" fillId="14" borderId="1" xfId="0" applyNumberFormat="1" applyFont="1" applyFill="1" applyBorder="1"/>
    <xf numFmtId="3" fontId="28" fillId="20" borderId="2" xfId="0" applyNumberFormat="1" applyFont="1" applyFill="1" applyBorder="1"/>
    <xf numFmtId="3" fontId="26" fillId="20" borderId="2" xfId="0" applyNumberFormat="1" applyFont="1" applyFill="1" applyBorder="1" applyAlignment="1">
      <alignment horizontal="right"/>
    </xf>
    <xf numFmtId="3" fontId="12" fillId="0" borderId="2" xfId="0" applyNumberFormat="1" applyFont="1" applyBorder="1" applyAlignment="1">
      <alignment horizontal="center" wrapText="1"/>
    </xf>
    <xf numFmtId="3" fontId="26" fillId="0" borderId="2" xfId="0" applyNumberFormat="1" applyFont="1" applyBorder="1"/>
    <xf numFmtId="3" fontId="26" fillId="0" borderId="1" xfId="0" applyNumberFormat="1" applyFont="1" applyBorder="1" applyAlignment="1">
      <alignment wrapText="1"/>
    </xf>
    <xf numFmtId="0" fontId="39" fillId="0" borderId="0" xfId="0" applyFont="1" applyAlignment="1">
      <alignment wrapText="1"/>
    </xf>
    <xf numFmtId="3" fontId="39" fillId="0" borderId="0" xfId="0" applyNumberFormat="1" applyFont="1"/>
    <xf numFmtId="3" fontId="31" fillId="14" borderId="0" xfId="0" applyNumberFormat="1" applyFont="1" applyFill="1"/>
    <xf numFmtId="3" fontId="30" fillId="14" borderId="0" xfId="0" applyNumberFormat="1" applyFont="1" applyFill="1"/>
    <xf numFmtId="0" fontId="13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wrapText="1"/>
    </xf>
    <xf numFmtId="165" fontId="8" fillId="0" borderId="0" xfId="25" applyNumberFormat="1" applyFont="1" applyFill="1"/>
    <xf numFmtId="165" fontId="39" fillId="0" borderId="0" xfId="14" applyNumberFormat="1" applyFont="1" applyFill="1"/>
    <xf numFmtId="9" fontId="40" fillId="0" borderId="0" xfId="14" applyFont="1" applyFill="1"/>
    <xf numFmtId="10" fontId="8" fillId="0" borderId="0" xfId="25" applyNumberFormat="1" applyFont="1" applyFill="1"/>
    <xf numFmtId="4" fontId="7" fillId="0" borderId="0" xfId="0" applyNumberFormat="1" applyFont="1"/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3" fontId="41" fillId="14" borderId="0" xfId="0" applyNumberFormat="1" applyFont="1" applyFill="1"/>
  </cellXfs>
  <cellStyles count="26">
    <cellStyle name="Kokku" xfId="1" builtinId="25"/>
    <cellStyle name="Normaallaad" xfId="0" builtinId="0"/>
    <cellStyle name="Normaallaad 2" xfId="2" xr:uid="{00000000-0005-0000-0000-000000000000}"/>
    <cellStyle name="Normaallaad 2 2" xfId="16" xr:uid="{F561841F-64D5-4A0A-AA57-9F52153D0A21}"/>
    <cellStyle name="Normaallaad 3" xfId="3" xr:uid="{00000000-0005-0000-0000-000001000000}"/>
    <cellStyle name="Normaallaad 3 2" xfId="17" xr:uid="{304BDBC7-203C-461D-A2C7-EA90A31B2A0B}"/>
    <cellStyle name="Normaallaad 3 3" xfId="21" xr:uid="{907ED40E-BE8F-4EA1-BC64-70B57A204A4B}"/>
    <cellStyle name="Normaallaad 4" xfId="19" xr:uid="{8AF72B68-23F8-4710-8CA7-F3133DBBB7C2}"/>
    <cellStyle name="Normaallaad 4 2" xfId="23" xr:uid="{5D0BD10F-5803-4C12-A656-83A8EC231D02}"/>
    <cellStyle name="Normal 2" xfId="4" xr:uid="{00000000-0005-0000-0000-000003000000}"/>
    <cellStyle name="Normal 2 2" xfId="5" xr:uid="{289CF184-F0F5-4ECE-A266-E19996399011}"/>
    <cellStyle name="Normal 2 2 2" xfId="6" xr:uid="{EBB90363-800F-4B7F-9280-0268D3E15473}"/>
    <cellStyle name="Normal 3" xfId="7" xr:uid="{C5428FF1-8E97-48EE-8D2A-8FDA0BD681E0}"/>
    <cellStyle name="Normal 3 2" xfId="8" xr:uid="{82CED971-D02D-4B0D-8303-C5BF21EE490D}"/>
    <cellStyle name="Normal 3 3" xfId="11" xr:uid="{5D2FC981-0D09-4F42-8881-DBF3293E1FF3}"/>
    <cellStyle name="Normal 3 3 2" xfId="20" xr:uid="{E3EB8677-4FA1-48AF-8773-ED485C0EAE6E}"/>
    <cellStyle name="Normal 4" xfId="10" xr:uid="{C1609D40-700D-4909-B3F7-7182C1557F65}"/>
    <cellStyle name="Normal 5" xfId="13" xr:uid="{0577E4AC-0897-48AD-9EF1-5BAD2D6E05EA}"/>
    <cellStyle name="Normal 6" xfId="9" xr:uid="{62E6354A-5D5C-4A0D-A37D-E2CE86E05697}"/>
    <cellStyle name="Normal_REA invest 2005-2006 maakonniti 160905" xfId="15" xr:uid="{803C1A33-7E87-4E22-A777-1A9A2E13D510}"/>
    <cellStyle name="Percent 2" xfId="12" xr:uid="{69C034E4-437C-4081-BEF2-A873972CACF5}"/>
    <cellStyle name="Protsent" xfId="25" builtinId="5"/>
    <cellStyle name="Protsent 2" xfId="18" xr:uid="{80BAFB64-53D6-49B5-80D9-3944B6460062}"/>
    <cellStyle name="Protsent 2 2" xfId="22" xr:uid="{B445026C-0C06-463C-99A6-C7F982D39DBB}"/>
    <cellStyle name="Protsent 3" xfId="14" xr:uid="{2A95A5BA-701A-4B72-B38A-E7DD63A0090A}"/>
    <cellStyle name="Protsent 3 2" xfId="24" xr:uid="{4DFCD35C-A4B9-41D0-BA18-2531361DA61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1879"/>
  <sheetViews>
    <sheetView tabSelected="1" zoomScaleNormal="100" workbookViewId="0">
      <pane ySplit="4" topLeftCell="A105" activePane="bottomLeft" state="frozen"/>
      <selection pane="bottomLeft" activeCell="P119" sqref="P119"/>
      <selection activeCell="C1" sqref="C1"/>
    </sheetView>
  </sheetViews>
  <sheetFormatPr defaultColWidth="9.42578125" defaultRowHeight="14.1" customHeight="1"/>
  <cols>
    <col min="1" max="1" width="8.85546875" style="12" customWidth="1"/>
    <col min="2" max="2" width="8.5703125" style="11" customWidth="1"/>
    <col min="3" max="3" width="38.7109375" style="8" customWidth="1"/>
    <col min="4" max="4" width="11.5703125" style="107" hidden="1" customWidth="1"/>
    <col min="5" max="5" width="11.5703125" style="20" customWidth="1"/>
    <col min="6" max="6" width="0.140625" style="220" hidden="1" customWidth="1"/>
    <col min="7" max="7" width="11.140625" style="190" hidden="1" customWidth="1"/>
    <col min="8" max="8" width="13.42578125" style="20" hidden="1" customWidth="1"/>
    <col min="9" max="9" width="9.42578125" style="190" hidden="1" customWidth="1"/>
    <col min="10" max="10" width="14.42578125" style="20" customWidth="1"/>
    <col min="11" max="11" width="13.28515625" style="20" customWidth="1"/>
    <col min="12" max="12" width="13.85546875" style="220" customWidth="1"/>
    <col min="13" max="13" width="9.85546875" style="333" customWidth="1"/>
    <col min="14" max="14" width="9.42578125" style="5"/>
    <col min="15" max="16384" width="9.42578125" style="1"/>
  </cols>
  <sheetData>
    <row r="1" spans="1:14" ht="12.6" customHeight="1">
      <c r="A1" s="18"/>
      <c r="B1" s="19"/>
      <c r="C1" s="13" t="s">
        <v>0</v>
      </c>
      <c r="D1" s="286"/>
      <c r="F1" s="190"/>
    </row>
    <row r="2" spans="1:14" ht="14.1" customHeight="1">
      <c r="A2" s="21" t="s">
        <v>1</v>
      </c>
      <c r="B2" s="22"/>
      <c r="C2" s="23" t="s">
        <v>2</v>
      </c>
      <c r="D2" s="286"/>
      <c r="F2" s="155"/>
      <c r="H2" s="190"/>
      <c r="J2" s="190"/>
      <c r="K2" s="190"/>
      <c r="L2" s="221"/>
    </row>
    <row r="3" spans="1:14" ht="13.5" customHeight="1">
      <c r="A3" s="24" t="s">
        <v>3</v>
      </c>
      <c r="B3" s="25"/>
      <c r="C3" s="26"/>
      <c r="D3" s="103"/>
      <c r="E3" s="95"/>
      <c r="F3" s="155"/>
      <c r="H3" s="95"/>
      <c r="J3" s="95"/>
      <c r="L3" s="221"/>
    </row>
    <row r="4" spans="1:14" s="7" customFormat="1" ht="23.25" customHeight="1">
      <c r="A4" s="109" t="s">
        <v>4</v>
      </c>
      <c r="B4" s="110"/>
      <c r="C4" s="111" t="s">
        <v>5</v>
      </c>
      <c r="D4" s="287" t="s">
        <v>6</v>
      </c>
      <c r="E4" s="325" t="s">
        <v>7</v>
      </c>
      <c r="F4" s="326" t="s">
        <v>8</v>
      </c>
      <c r="G4" s="327" t="s">
        <v>9</v>
      </c>
      <c r="H4" s="325" t="s">
        <v>10</v>
      </c>
      <c r="I4" s="327" t="s">
        <v>11</v>
      </c>
      <c r="J4" s="325" t="s">
        <v>12</v>
      </c>
      <c r="K4" s="267" t="s">
        <v>13</v>
      </c>
      <c r="L4" s="234" t="s">
        <v>14</v>
      </c>
      <c r="M4" s="334" t="s">
        <v>15</v>
      </c>
      <c r="N4" s="328" t="s">
        <v>16</v>
      </c>
    </row>
    <row r="5" spans="1:14" s="2" customFormat="1" ht="14.1" customHeight="1">
      <c r="A5" s="28" t="s">
        <v>17</v>
      </c>
      <c r="B5" s="29"/>
      <c r="C5" s="30" t="s">
        <v>18</v>
      </c>
      <c r="D5" s="44">
        <v>12838191</v>
      </c>
      <c r="E5" s="31">
        <v>14962729.100000001</v>
      </c>
      <c r="F5" s="31">
        <f t="shared" ref="F5:K5" si="0">+F6+F7</f>
        <v>17550000</v>
      </c>
      <c r="G5" s="36">
        <f t="shared" si="0"/>
        <v>0</v>
      </c>
      <c r="H5" s="31">
        <f t="shared" si="0"/>
        <v>17550000</v>
      </c>
      <c r="I5" s="36">
        <f t="shared" si="0"/>
        <v>0</v>
      </c>
      <c r="J5" s="31">
        <f t="shared" si="0"/>
        <v>17550000</v>
      </c>
      <c r="K5" s="31">
        <f t="shared" si="0"/>
        <v>13237700</v>
      </c>
      <c r="L5" s="31">
        <f t="shared" ref="L5" si="1">+L6+L7</f>
        <v>19700000</v>
      </c>
      <c r="M5" s="335">
        <f>(L5-J5)/J5</f>
        <v>0.12250712250712251</v>
      </c>
      <c r="N5" s="329">
        <f>L5-J5</f>
        <v>2150000</v>
      </c>
    </row>
    <row r="6" spans="1:14" ht="14.1" customHeight="1">
      <c r="A6" s="32" t="s">
        <v>19</v>
      </c>
      <c r="B6" s="33">
        <v>3000</v>
      </c>
      <c r="C6" s="34" t="s">
        <v>20</v>
      </c>
      <c r="D6" s="52">
        <v>12505191</v>
      </c>
      <c r="E6" s="95">
        <v>14626540.100000001</v>
      </c>
      <c r="F6" s="235">
        <v>17200000</v>
      </c>
      <c r="G6" s="160"/>
      <c r="H6" s="95">
        <f>+G6+F6</f>
        <v>17200000</v>
      </c>
      <c r="I6" s="160"/>
      <c r="J6" s="95">
        <f>+I6+H6</f>
        <v>17200000</v>
      </c>
      <c r="K6" s="20">
        <v>13020066</v>
      </c>
      <c r="L6" s="235">
        <f>19100000+300000</f>
        <v>19400000</v>
      </c>
      <c r="M6" s="335">
        <f t="shared" ref="M6:M72" si="2">(L6-J6)/J6</f>
        <v>0.12790697674418605</v>
      </c>
      <c r="N6" s="329">
        <f t="shared" ref="N6:N69" si="3">L6-J6</f>
        <v>2200000</v>
      </c>
    </row>
    <row r="7" spans="1:14" ht="14.1" customHeight="1">
      <c r="A7" s="32" t="s">
        <v>21</v>
      </c>
      <c r="B7" s="33">
        <v>3030</v>
      </c>
      <c r="C7" s="34" t="s">
        <v>22</v>
      </c>
      <c r="D7" s="52">
        <v>333000</v>
      </c>
      <c r="E7" s="95">
        <v>336189</v>
      </c>
      <c r="F7" s="235">
        <v>350000</v>
      </c>
      <c r="G7" s="160"/>
      <c r="H7" s="95">
        <f>+G7+F7</f>
        <v>350000</v>
      </c>
      <c r="I7" s="160"/>
      <c r="J7" s="95">
        <f>+I7+H7</f>
        <v>350000</v>
      </c>
      <c r="K7" s="20">
        <v>217634</v>
      </c>
      <c r="L7" s="235">
        <v>300000</v>
      </c>
      <c r="M7" s="335">
        <f t="shared" si="2"/>
        <v>-0.14285714285714285</v>
      </c>
      <c r="N7" s="329">
        <f t="shared" si="3"/>
        <v>-50000</v>
      </c>
    </row>
    <row r="8" spans="1:14" s="2" customFormat="1" ht="14.1" customHeight="1">
      <c r="A8" s="28" t="s">
        <v>23</v>
      </c>
      <c r="B8" s="29">
        <v>32</v>
      </c>
      <c r="C8" s="30" t="s">
        <v>24</v>
      </c>
      <c r="D8" s="44">
        <v>1248762</v>
      </c>
      <c r="E8" s="42">
        <v>1559008</v>
      </c>
      <c r="F8" s="42">
        <f t="shared" ref="F8:L8" si="4">+F9+F10+F36+F47+F56+F70+F71+F72+F73+F74+F75</f>
        <v>1931900</v>
      </c>
      <c r="G8" s="44">
        <f t="shared" si="4"/>
        <v>19500</v>
      </c>
      <c r="H8" s="42">
        <f t="shared" si="4"/>
        <v>1951400</v>
      </c>
      <c r="I8" s="42">
        <f t="shared" si="4"/>
        <v>-780</v>
      </c>
      <c r="J8" s="42">
        <f t="shared" si="4"/>
        <v>1954316</v>
      </c>
      <c r="K8" s="42">
        <f t="shared" si="4"/>
        <v>1344699</v>
      </c>
      <c r="L8" s="42">
        <f t="shared" si="4"/>
        <v>2241700</v>
      </c>
      <c r="M8" s="335">
        <f t="shared" si="2"/>
        <v>0.14705093751471102</v>
      </c>
      <c r="N8" s="329">
        <f t="shared" si="3"/>
        <v>287384</v>
      </c>
    </row>
    <row r="9" spans="1:14" s="2" customFormat="1" ht="13.5" customHeight="1">
      <c r="A9" s="37" t="s">
        <v>25</v>
      </c>
      <c r="B9" s="38">
        <v>320</v>
      </c>
      <c r="C9" s="39" t="s">
        <v>26</v>
      </c>
      <c r="D9" s="51">
        <v>45000</v>
      </c>
      <c r="E9" s="99">
        <v>42000</v>
      </c>
      <c r="F9" s="222">
        <v>45000</v>
      </c>
      <c r="G9" s="94"/>
      <c r="H9" s="99">
        <f t="shared" ref="H9" si="5">+G9+F9</f>
        <v>45000</v>
      </c>
      <c r="I9" s="94"/>
      <c r="J9" s="99">
        <f t="shared" ref="J9" si="6">+I9+H9</f>
        <v>45000</v>
      </c>
      <c r="K9" s="16">
        <v>30450</v>
      </c>
      <c r="L9" s="222">
        <v>45000</v>
      </c>
      <c r="M9" s="335">
        <f t="shared" si="2"/>
        <v>0</v>
      </c>
      <c r="N9" s="329">
        <f t="shared" si="3"/>
        <v>0</v>
      </c>
    </row>
    <row r="10" spans="1:14" s="2" customFormat="1" ht="14.1" customHeight="1">
      <c r="A10" s="37" t="s">
        <v>27</v>
      </c>
      <c r="B10" s="38">
        <v>3220</v>
      </c>
      <c r="C10" s="39" t="s">
        <v>28</v>
      </c>
      <c r="D10" s="51">
        <v>933018</v>
      </c>
      <c r="E10" s="65">
        <v>1195367</v>
      </c>
      <c r="F10" s="223">
        <f t="shared" ref="F10:L10" si="7">SUM(F11:F35)</f>
        <v>1519100</v>
      </c>
      <c r="G10" s="65">
        <f t="shared" si="7"/>
        <v>0</v>
      </c>
      <c r="H10" s="65">
        <f t="shared" si="7"/>
        <v>1519100</v>
      </c>
      <c r="I10" s="65">
        <f t="shared" si="7"/>
        <v>670</v>
      </c>
      <c r="J10" s="65">
        <f t="shared" si="7"/>
        <v>1523446</v>
      </c>
      <c r="K10" s="65">
        <f t="shared" si="7"/>
        <v>1023782</v>
      </c>
      <c r="L10" s="223">
        <f t="shared" si="7"/>
        <v>1754100</v>
      </c>
      <c r="M10" s="335">
        <f t="shared" si="2"/>
        <v>0.15140280653203331</v>
      </c>
      <c r="N10" s="329">
        <f t="shared" si="3"/>
        <v>230654</v>
      </c>
    </row>
    <row r="11" spans="1:14" ht="14.1" customHeight="1">
      <c r="A11" s="32" t="s">
        <v>29</v>
      </c>
      <c r="B11" s="33"/>
      <c r="C11" s="34" t="s">
        <v>30</v>
      </c>
      <c r="D11" s="52">
        <v>8000</v>
      </c>
      <c r="E11" s="95">
        <v>15000</v>
      </c>
      <c r="F11" s="235">
        <v>15000</v>
      </c>
      <c r="G11" s="160"/>
      <c r="H11" s="95">
        <f>+G11+F11</f>
        <v>15000</v>
      </c>
      <c r="I11" s="160">
        <v>5000</v>
      </c>
      <c r="J11" s="95">
        <f>+I11+H11</f>
        <v>20000</v>
      </c>
      <c r="K11" s="20">
        <v>9447</v>
      </c>
      <c r="L11" s="235">
        <v>20000</v>
      </c>
      <c r="M11" s="335">
        <f t="shared" si="2"/>
        <v>0</v>
      </c>
      <c r="N11" s="329">
        <f t="shared" si="3"/>
        <v>0</v>
      </c>
    </row>
    <row r="12" spans="1:14" ht="14.1" customHeight="1">
      <c r="A12" s="32" t="s">
        <v>31</v>
      </c>
      <c r="B12" s="33"/>
      <c r="C12" s="34" t="s">
        <v>32</v>
      </c>
      <c r="D12" s="52">
        <v>22000</v>
      </c>
      <c r="E12" s="95">
        <v>22000</v>
      </c>
      <c r="F12" s="235">
        <v>32000</v>
      </c>
      <c r="G12" s="160"/>
      <c r="H12" s="95">
        <f t="shared" ref="H12:H35" si="8">+G12+F12</f>
        <v>32000</v>
      </c>
      <c r="I12" s="160"/>
      <c r="J12" s="95">
        <f t="shared" ref="J12:J35" si="9">+I12+H12</f>
        <v>32000</v>
      </c>
      <c r="K12" s="20">
        <v>19945</v>
      </c>
      <c r="L12" s="235">
        <v>40000</v>
      </c>
      <c r="M12" s="335">
        <f t="shared" si="2"/>
        <v>0.25</v>
      </c>
      <c r="N12" s="329">
        <f t="shared" si="3"/>
        <v>8000</v>
      </c>
    </row>
    <row r="13" spans="1:14" s="2" customFormat="1" ht="14.1" customHeight="1">
      <c r="A13" s="24" t="s">
        <v>33</v>
      </c>
      <c r="B13" s="33"/>
      <c r="C13" s="34" t="s">
        <v>34</v>
      </c>
      <c r="D13" s="52">
        <v>9000</v>
      </c>
      <c r="E13" s="95">
        <v>16000</v>
      </c>
      <c r="F13" s="235">
        <v>23000</v>
      </c>
      <c r="G13" s="160"/>
      <c r="H13" s="95">
        <f t="shared" si="8"/>
        <v>23000</v>
      </c>
      <c r="I13" s="160"/>
      <c r="J13" s="95">
        <f t="shared" si="9"/>
        <v>23000</v>
      </c>
      <c r="K13" s="20">
        <v>21439</v>
      </c>
      <c r="L13" s="235">
        <v>40000</v>
      </c>
      <c r="M13" s="335">
        <f t="shared" si="2"/>
        <v>0.73913043478260865</v>
      </c>
      <c r="N13" s="329">
        <f t="shared" si="3"/>
        <v>17000</v>
      </c>
    </row>
    <row r="14" spans="1:14" s="2" customFormat="1" ht="14.1" customHeight="1">
      <c r="A14" s="32" t="s">
        <v>35</v>
      </c>
      <c r="B14" s="33"/>
      <c r="C14" s="40" t="s">
        <v>36</v>
      </c>
      <c r="D14" s="52">
        <v>180000</v>
      </c>
      <c r="E14" s="95">
        <v>180000</v>
      </c>
      <c r="F14" s="236">
        <v>190000</v>
      </c>
      <c r="G14" s="155"/>
      <c r="H14" s="95">
        <f t="shared" si="8"/>
        <v>190000</v>
      </c>
      <c r="I14" s="155"/>
      <c r="J14" s="95">
        <f t="shared" si="9"/>
        <v>190000</v>
      </c>
      <c r="K14" s="20">
        <v>116622</v>
      </c>
      <c r="L14" s="236">
        <v>200000</v>
      </c>
      <c r="M14" s="335">
        <f t="shared" si="2"/>
        <v>5.2631578947368418E-2</v>
      </c>
      <c r="N14" s="329">
        <f t="shared" si="3"/>
        <v>10000</v>
      </c>
    </row>
    <row r="15" spans="1:14" s="2" customFormat="1" ht="14.1" customHeight="1">
      <c r="A15" s="32" t="s">
        <v>37</v>
      </c>
      <c r="B15" s="33"/>
      <c r="C15" s="40" t="s">
        <v>38</v>
      </c>
      <c r="D15" s="52">
        <v>88000</v>
      </c>
      <c r="E15" s="95">
        <v>90000</v>
      </c>
      <c r="F15" s="236">
        <v>110000</v>
      </c>
      <c r="G15" s="155"/>
      <c r="H15" s="95">
        <f t="shared" si="8"/>
        <v>110000</v>
      </c>
      <c r="I15" s="155">
        <v>30000</v>
      </c>
      <c r="J15" s="95">
        <f t="shared" si="9"/>
        <v>140000</v>
      </c>
      <c r="K15" s="20">
        <v>99813</v>
      </c>
      <c r="L15" s="236">
        <v>140000</v>
      </c>
      <c r="M15" s="335">
        <f t="shared" si="2"/>
        <v>0</v>
      </c>
      <c r="N15" s="329">
        <f t="shared" si="3"/>
        <v>0</v>
      </c>
    </row>
    <row r="16" spans="1:14" s="2" customFormat="1" ht="14.1" customHeight="1">
      <c r="A16" s="37" t="s">
        <v>39</v>
      </c>
      <c r="B16" s="38"/>
      <c r="C16" s="34" t="s">
        <v>40</v>
      </c>
      <c r="D16" s="52">
        <v>20000</v>
      </c>
      <c r="E16" s="95">
        <v>20000</v>
      </c>
      <c r="F16" s="236">
        <v>30000</v>
      </c>
      <c r="G16" s="155"/>
      <c r="H16" s="95">
        <f t="shared" si="8"/>
        <v>30000</v>
      </c>
      <c r="I16" s="155"/>
      <c r="J16" s="95">
        <f t="shared" si="9"/>
        <v>30000</v>
      </c>
      <c r="K16" s="20">
        <v>17803</v>
      </c>
      <c r="L16" s="236">
        <v>25000</v>
      </c>
      <c r="M16" s="335">
        <f t="shared" si="2"/>
        <v>-0.16666666666666666</v>
      </c>
      <c r="N16" s="329">
        <f t="shared" si="3"/>
        <v>-5000</v>
      </c>
    </row>
    <row r="17" spans="1:14" ht="14.1" customHeight="1">
      <c r="A17" s="32" t="s">
        <v>39</v>
      </c>
      <c r="B17" s="33"/>
      <c r="C17" s="34" t="s">
        <v>41</v>
      </c>
      <c r="D17" s="52">
        <v>11250</v>
      </c>
      <c r="E17" s="95">
        <v>11250</v>
      </c>
      <c r="F17" s="235">
        <v>15000</v>
      </c>
      <c r="G17" s="160"/>
      <c r="H17" s="95">
        <f t="shared" si="8"/>
        <v>15000</v>
      </c>
      <c r="I17" s="160"/>
      <c r="J17" s="95">
        <f t="shared" si="9"/>
        <v>15000</v>
      </c>
      <c r="K17" s="20">
        <v>7476</v>
      </c>
      <c r="L17" s="235">
        <v>10000</v>
      </c>
      <c r="M17" s="335">
        <f t="shared" si="2"/>
        <v>-0.33333333333333331</v>
      </c>
      <c r="N17" s="329">
        <f t="shared" si="3"/>
        <v>-5000</v>
      </c>
    </row>
    <row r="18" spans="1:14" ht="14.1" customHeight="1">
      <c r="A18" s="32" t="s">
        <v>42</v>
      </c>
      <c r="B18" s="260" t="s">
        <v>43</v>
      </c>
      <c r="C18" s="34" t="s">
        <v>44</v>
      </c>
      <c r="D18" s="52">
        <v>24000</v>
      </c>
      <c r="E18" s="95">
        <v>35226</v>
      </c>
      <c r="F18" s="236">
        <v>56000</v>
      </c>
      <c r="G18" s="155"/>
      <c r="H18" s="95">
        <f t="shared" si="8"/>
        <v>56000</v>
      </c>
      <c r="I18" s="155">
        <v>-6000</v>
      </c>
      <c r="J18" s="95">
        <f t="shared" si="9"/>
        <v>50000</v>
      </c>
      <c r="K18" s="20">
        <v>23372</v>
      </c>
      <c r="L18" s="236">
        <v>55000</v>
      </c>
      <c r="M18" s="335">
        <f t="shared" si="2"/>
        <v>0.1</v>
      </c>
      <c r="N18" s="329">
        <f t="shared" si="3"/>
        <v>5000</v>
      </c>
    </row>
    <row r="19" spans="1:14" ht="14.1" customHeight="1">
      <c r="A19" s="32" t="s">
        <v>42</v>
      </c>
      <c r="B19" s="260" t="s">
        <v>45</v>
      </c>
      <c r="C19" s="34" t="s">
        <v>46</v>
      </c>
      <c r="D19" s="52">
        <v>71890</v>
      </c>
      <c r="E19" s="95">
        <v>76890</v>
      </c>
      <c r="F19" s="236">
        <v>130000</v>
      </c>
      <c r="G19" s="155"/>
      <c r="H19" s="95">
        <f t="shared" si="8"/>
        <v>130000</v>
      </c>
      <c r="I19" s="155"/>
      <c r="J19" s="95">
        <f t="shared" si="9"/>
        <v>130000</v>
      </c>
      <c r="K19" s="20">
        <v>75149</v>
      </c>
      <c r="L19" s="236">
        <v>150000</v>
      </c>
      <c r="M19" s="335">
        <f t="shared" si="2"/>
        <v>0.15384615384615385</v>
      </c>
      <c r="N19" s="329">
        <f t="shared" si="3"/>
        <v>20000</v>
      </c>
    </row>
    <row r="20" spans="1:14" ht="14.1" customHeight="1">
      <c r="A20" s="32" t="s">
        <v>42</v>
      </c>
      <c r="B20" s="260" t="s">
        <v>47</v>
      </c>
      <c r="C20" s="34" t="s">
        <v>48</v>
      </c>
      <c r="D20" s="52">
        <v>30322</v>
      </c>
      <c r="E20" s="95">
        <v>65659</v>
      </c>
      <c r="F20" s="236">
        <v>99000</v>
      </c>
      <c r="G20" s="155"/>
      <c r="H20" s="95">
        <f t="shared" si="8"/>
        <v>99000</v>
      </c>
      <c r="I20" s="155">
        <v>-5000</v>
      </c>
      <c r="J20" s="95">
        <f t="shared" si="9"/>
        <v>94000</v>
      </c>
      <c r="K20" s="20">
        <v>51433</v>
      </c>
      <c r="L20" s="236">
        <v>92000</v>
      </c>
      <c r="M20" s="335">
        <f t="shared" si="2"/>
        <v>-2.1276595744680851E-2</v>
      </c>
      <c r="N20" s="329">
        <f t="shared" si="3"/>
        <v>-2000</v>
      </c>
    </row>
    <row r="21" spans="1:14" ht="14.1" customHeight="1">
      <c r="A21" s="32" t="s">
        <v>42</v>
      </c>
      <c r="B21" s="260" t="s">
        <v>49</v>
      </c>
      <c r="C21" s="34" t="s">
        <v>50</v>
      </c>
      <c r="D21" s="52">
        <v>7800</v>
      </c>
      <c r="E21" s="95">
        <v>7800</v>
      </c>
      <c r="F21" s="236">
        <v>12000</v>
      </c>
      <c r="G21" s="155"/>
      <c r="H21" s="95">
        <f t="shared" si="8"/>
        <v>12000</v>
      </c>
      <c r="I21" s="155"/>
      <c r="J21" s="95">
        <f t="shared" si="9"/>
        <v>12000</v>
      </c>
      <c r="K21" s="20">
        <v>6975</v>
      </c>
      <c r="L21" s="236">
        <v>12000</v>
      </c>
      <c r="M21" s="335">
        <f t="shared" si="2"/>
        <v>0</v>
      </c>
      <c r="N21" s="329">
        <f t="shared" si="3"/>
        <v>0</v>
      </c>
    </row>
    <row r="22" spans="1:14" ht="14.1" customHeight="1">
      <c r="A22" s="32" t="s">
        <v>42</v>
      </c>
      <c r="B22" s="260" t="s">
        <v>51</v>
      </c>
      <c r="C22" s="34" t="s">
        <v>52</v>
      </c>
      <c r="D22" s="52">
        <v>22000</v>
      </c>
      <c r="E22" s="95">
        <v>19300</v>
      </c>
      <c r="F22" s="236">
        <v>38000</v>
      </c>
      <c r="G22" s="155"/>
      <c r="H22" s="95">
        <f t="shared" si="8"/>
        <v>38000</v>
      </c>
      <c r="I22" s="155">
        <v>-8000</v>
      </c>
      <c r="J22" s="95">
        <f t="shared" si="9"/>
        <v>30000</v>
      </c>
      <c r="K22" s="20">
        <v>14604</v>
      </c>
      <c r="L22" s="236">
        <v>35000</v>
      </c>
      <c r="M22" s="335">
        <f t="shared" si="2"/>
        <v>0.16666666666666666</v>
      </c>
      <c r="N22" s="329">
        <f t="shared" si="3"/>
        <v>5000</v>
      </c>
    </row>
    <row r="23" spans="1:14" ht="14.1" customHeight="1">
      <c r="A23" s="32" t="s">
        <v>42</v>
      </c>
      <c r="B23" s="260" t="s">
        <v>53</v>
      </c>
      <c r="C23" s="34" t="s">
        <v>54</v>
      </c>
      <c r="D23" s="52"/>
      <c r="E23" s="95">
        <v>10626</v>
      </c>
      <c r="F23" s="236">
        <v>18000</v>
      </c>
      <c r="G23" s="155"/>
      <c r="H23" s="95">
        <f t="shared" si="8"/>
        <v>18000</v>
      </c>
      <c r="I23" s="155">
        <v>-2000</v>
      </c>
      <c r="J23" s="95">
        <f t="shared" si="9"/>
        <v>16000</v>
      </c>
      <c r="K23" s="20">
        <v>7762</v>
      </c>
      <c r="L23" s="236">
        <v>18000</v>
      </c>
      <c r="M23" s="335">
        <f t="shared" si="2"/>
        <v>0.125</v>
      </c>
      <c r="N23" s="329">
        <f t="shared" si="3"/>
        <v>2000</v>
      </c>
    </row>
    <row r="24" spans="1:14" ht="14.1" customHeight="1">
      <c r="A24" s="32" t="s">
        <v>55</v>
      </c>
      <c r="B24" s="260" t="s">
        <v>43</v>
      </c>
      <c r="C24" s="34" t="s">
        <v>56</v>
      </c>
      <c r="D24" s="52">
        <v>56558</v>
      </c>
      <c r="E24" s="95">
        <v>69313</v>
      </c>
      <c r="F24" s="236">
        <v>98000</v>
      </c>
      <c r="G24" s="155"/>
      <c r="H24" s="95">
        <f t="shared" si="8"/>
        <v>98000</v>
      </c>
      <c r="I24" s="155"/>
      <c r="J24" s="95">
        <f t="shared" si="9"/>
        <v>98000</v>
      </c>
      <c r="K24" s="20">
        <v>71285</v>
      </c>
      <c r="L24" s="236">
        <v>111700</v>
      </c>
      <c r="M24" s="335">
        <f t="shared" si="2"/>
        <v>0.13979591836734695</v>
      </c>
      <c r="N24" s="329">
        <f t="shared" si="3"/>
        <v>13700</v>
      </c>
    </row>
    <row r="25" spans="1:14" ht="14.1" customHeight="1">
      <c r="A25" s="32" t="s">
        <v>55</v>
      </c>
      <c r="B25" s="260" t="s">
        <v>45</v>
      </c>
      <c r="C25" s="34" t="s">
        <v>57</v>
      </c>
      <c r="D25" s="52">
        <v>91400</v>
      </c>
      <c r="E25" s="95">
        <v>226000</v>
      </c>
      <c r="F25" s="236">
        <v>260000</v>
      </c>
      <c r="G25" s="155"/>
      <c r="H25" s="95">
        <f t="shared" si="8"/>
        <v>260000</v>
      </c>
      <c r="I25" s="155"/>
      <c r="J25" s="95">
        <f t="shared" si="9"/>
        <v>260000</v>
      </c>
      <c r="K25" s="20">
        <v>190000</v>
      </c>
      <c r="L25" s="236">
        <v>321000</v>
      </c>
      <c r="M25" s="335">
        <f t="shared" si="2"/>
        <v>0.23461538461538461</v>
      </c>
      <c r="N25" s="329">
        <f t="shared" si="3"/>
        <v>61000</v>
      </c>
    </row>
    <row r="26" spans="1:14" ht="14.1" customHeight="1">
      <c r="A26" s="32" t="s">
        <v>55</v>
      </c>
      <c r="B26" s="260" t="s">
        <v>47</v>
      </c>
      <c r="C26" s="34" t="s">
        <v>58</v>
      </c>
      <c r="D26" s="52">
        <v>78490</v>
      </c>
      <c r="E26" s="95">
        <v>156960</v>
      </c>
      <c r="F26" s="236">
        <v>172500</v>
      </c>
      <c r="G26" s="155"/>
      <c r="H26" s="95">
        <f t="shared" si="8"/>
        <v>172500</v>
      </c>
      <c r="I26" s="155"/>
      <c r="J26" s="95">
        <f t="shared" si="9"/>
        <v>172500</v>
      </c>
      <c r="K26" s="20">
        <v>120492</v>
      </c>
      <c r="L26" s="236">
        <v>195200</v>
      </c>
      <c r="M26" s="335">
        <f t="shared" si="2"/>
        <v>0.13159420289855073</v>
      </c>
      <c r="N26" s="329">
        <f t="shared" si="3"/>
        <v>22700</v>
      </c>
    </row>
    <row r="27" spans="1:14" ht="14.1" customHeight="1">
      <c r="A27" s="32" t="s">
        <v>55</v>
      </c>
      <c r="B27" s="260" t="s">
        <v>49</v>
      </c>
      <c r="C27" s="34" t="s">
        <v>59</v>
      </c>
      <c r="D27" s="52">
        <v>14438</v>
      </c>
      <c r="E27" s="95">
        <v>17661</v>
      </c>
      <c r="F27" s="236">
        <v>19000</v>
      </c>
      <c r="G27" s="155"/>
      <c r="H27" s="95">
        <f t="shared" si="8"/>
        <v>19000</v>
      </c>
      <c r="I27" s="155"/>
      <c r="J27" s="95">
        <f t="shared" si="9"/>
        <v>19000</v>
      </c>
      <c r="K27" s="20">
        <v>15216</v>
      </c>
      <c r="L27" s="236">
        <v>23600</v>
      </c>
      <c r="M27" s="335">
        <f t="shared" si="2"/>
        <v>0.24210526315789474</v>
      </c>
      <c r="N27" s="329">
        <f t="shared" si="3"/>
        <v>4600</v>
      </c>
    </row>
    <row r="28" spans="1:14" ht="14.1" customHeight="1">
      <c r="A28" s="32" t="s">
        <v>55</v>
      </c>
      <c r="B28" s="260" t="s">
        <v>51</v>
      </c>
      <c r="C28" s="34" t="s">
        <v>60</v>
      </c>
      <c r="D28" s="52">
        <v>54100</v>
      </c>
      <c r="E28" s="95">
        <v>65000</v>
      </c>
      <c r="F28" s="236">
        <v>66100</v>
      </c>
      <c r="G28" s="155"/>
      <c r="H28" s="95">
        <f t="shared" si="8"/>
        <v>66100</v>
      </c>
      <c r="I28" s="155">
        <v>-16100</v>
      </c>
      <c r="J28" s="95">
        <f t="shared" si="9"/>
        <v>50000</v>
      </c>
      <c r="K28" s="20">
        <v>36104</v>
      </c>
      <c r="L28" s="236">
        <f>100*787</f>
        <v>78700</v>
      </c>
      <c r="M28" s="335">
        <f t="shared" si="2"/>
        <v>0.57399999999999995</v>
      </c>
      <c r="N28" s="329">
        <f t="shared" si="3"/>
        <v>28700</v>
      </c>
    </row>
    <row r="29" spans="1:14" ht="14.1" customHeight="1">
      <c r="A29" s="32" t="s">
        <v>55</v>
      </c>
      <c r="B29" s="260" t="s">
        <v>53</v>
      </c>
      <c r="C29" s="34" t="s">
        <v>61</v>
      </c>
      <c r="D29" s="52"/>
      <c r="E29" s="95">
        <v>21300</v>
      </c>
      <c r="F29" s="236">
        <v>32000</v>
      </c>
      <c r="G29" s="155"/>
      <c r="H29" s="95">
        <f t="shared" si="8"/>
        <v>32000</v>
      </c>
      <c r="I29" s="155"/>
      <c r="J29" s="95">
        <f t="shared" si="9"/>
        <v>32000</v>
      </c>
      <c r="K29" s="20">
        <v>21467</v>
      </c>
      <c r="L29" s="236">
        <v>36200</v>
      </c>
      <c r="M29" s="335">
        <f t="shared" si="2"/>
        <v>0.13125000000000001</v>
      </c>
      <c r="N29" s="329">
        <f t="shared" si="3"/>
        <v>4200</v>
      </c>
    </row>
    <row r="30" spans="1:14" ht="14.1" customHeight="1">
      <c r="A30" s="24" t="s">
        <v>62</v>
      </c>
      <c r="B30" s="33"/>
      <c r="C30" s="34" t="s">
        <v>63</v>
      </c>
      <c r="D30" s="52">
        <v>0</v>
      </c>
      <c r="E30" s="95">
        <v>1996</v>
      </c>
      <c r="F30" s="236">
        <v>2000</v>
      </c>
      <c r="G30" s="155"/>
      <c r="H30" s="95">
        <f>+G30+F30</f>
        <v>2000</v>
      </c>
      <c r="I30" s="155"/>
      <c r="J30" s="95">
        <f>+I30+H30</f>
        <v>2000</v>
      </c>
      <c r="K30" s="20">
        <v>23</v>
      </c>
      <c r="L30" s="236">
        <v>200</v>
      </c>
      <c r="M30" s="335">
        <f>(L30-J30)/J30</f>
        <v>-0.9</v>
      </c>
      <c r="N30" s="329">
        <f t="shared" si="3"/>
        <v>-1800</v>
      </c>
    </row>
    <row r="31" spans="1:14" ht="12.95" customHeight="1">
      <c r="A31" s="24" t="s">
        <v>64</v>
      </c>
      <c r="B31" s="33"/>
      <c r="C31" s="34" t="s">
        <v>65</v>
      </c>
      <c r="D31" s="52">
        <v>25000</v>
      </c>
      <c r="E31" s="95">
        <v>50000</v>
      </c>
      <c r="F31" s="236">
        <v>90000</v>
      </c>
      <c r="G31" s="155"/>
      <c r="H31" s="95">
        <f t="shared" si="8"/>
        <v>90000</v>
      </c>
      <c r="I31" s="155"/>
      <c r="J31" s="95">
        <f t="shared" si="9"/>
        <v>90000</v>
      </c>
      <c r="K31" s="20">
        <v>60818</v>
      </c>
      <c r="L31" s="236">
        <v>100000</v>
      </c>
      <c r="M31" s="335">
        <f t="shared" si="2"/>
        <v>0.1111111111111111</v>
      </c>
      <c r="N31" s="329">
        <f t="shared" si="3"/>
        <v>10000</v>
      </c>
    </row>
    <row r="32" spans="1:14" ht="14.1" customHeight="1">
      <c r="A32" s="24" t="s">
        <v>66</v>
      </c>
      <c r="B32" s="33"/>
      <c r="C32" s="34" t="s">
        <v>67</v>
      </c>
      <c r="D32" s="52">
        <v>10000</v>
      </c>
      <c r="E32" s="95">
        <v>8198</v>
      </c>
      <c r="F32" s="236">
        <v>4000</v>
      </c>
      <c r="G32" s="155"/>
      <c r="H32" s="95">
        <f>+G32+F32</f>
        <v>4000</v>
      </c>
      <c r="I32" s="155">
        <f>2175+595</f>
        <v>2770</v>
      </c>
      <c r="J32" s="95">
        <f>+I32+H32+3676</f>
        <v>10446</v>
      </c>
      <c r="K32" s="20">
        <v>25249</v>
      </c>
      <c r="L32" s="236">
        <v>40000</v>
      </c>
      <c r="M32" s="335">
        <f t="shared" si="2"/>
        <v>2.8292169251388093</v>
      </c>
      <c r="N32" s="329">
        <f t="shared" si="3"/>
        <v>29554</v>
      </c>
    </row>
    <row r="33" spans="1:14" ht="13.5" customHeight="1">
      <c r="A33" s="24" t="s">
        <v>68</v>
      </c>
      <c r="B33" s="33"/>
      <c r="C33" s="34" t="s">
        <v>69</v>
      </c>
      <c r="D33" s="52"/>
      <c r="E33" s="95">
        <v>2770</v>
      </c>
      <c r="F33" s="236">
        <v>2500</v>
      </c>
      <c r="G33" s="155"/>
      <c r="H33" s="95">
        <f>+G33+F33</f>
        <v>2500</v>
      </c>
      <c r="I33" s="155"/>
      <c r="J33" s="95">
        <f>+I33+H33</f>
        <v>2500</v>
      </c>
      <c r="K33" s="20">
        <v>3922</v>
      </c>
      <c r="L33" s="236">
        <v>5000</v>
      </c>
      <c r="M33" s="335">
        <f>(L33-J33)/J33</f>
        <v>1</v>
      </c>
      <c r="N33" s="329">
        <f t="shared" si="3"/>
        <v>2500</v>
      </c>
    </row>
    <row r="34" spans="1:14" ht="14.1" customHeight="1">
      <c r="A34" s="24" t="s">
        <v>70</v>
      </c>
      <c r="B34" s="33"/>
      <c r="C34" s="34" t="s">
        <v>71</v>
      </c>
      <c r="D34" s="52">
        <v>0</v>
      </c>
      <c r="E34" s="95">
        <v>6418</v>
      </c>
      <c r="F34" s="236">
        <v>5000</v>
      </c>
      <c r="G34" s="155"/>
      <c r="H34" s="95">
        <f t="shared" si="8"/>
        <v>5000</v>
      </c>
      <c r="I34" s="155"/>
      <c r="J34" s="95">
        <f t="shared" si="9"/>
        <v>5000</v>
      </c>
      <c r="K34" s="20">
        <v>7366</v>
      </c>
      <c r="L34" s="236">
        <v>5500</v>
      </c>
      <c r="M34" s="335">
        <f t="shared" si="2"/>
        <v>0.1</v>
      </c>
      <c r="N34" s="329">
        <f t="shared" si="3"/>
        <v>500</v>
      </c>
    </row>
    <row r="35" spans="1:14" ht="12.6">
      <c r="A35" s="24"/>
      <c r="B35" s="33"/>
      <c r="C35" s="34"/>
      <c r="D35" s="52"/>
      <c r="E35" s="95">
        <v>0</v>
      </c>
      <c r="F35" s="236"/>
      <c r="G35" s="155"/>
      <c r="H35" s="95">
        <f t="shared" si="8"/>
        <v>0</v>
      </c>
      <c r="I35" s="155"/>
      <c r="J35" s="95">
        <f t="shared" si="9"/>
        <v>0</v>
      </c>
      <c r="L35" s="236"/>
      <c r="M35" s="335" t="e">
        <f t="shared" si="2"/>
        <v>#DIV/0!</v>
      </c>
      <c r="N35" s="329">
        <f t="shared" si="3"/>
        <v>0</v>
      </c>
    </row>
    <row r="36" spans="1:14" s="2" customFormat="1" ht="14.1" customHeight="1">
      <c r="A36" s="41" t="s">
        <v>72</v>
      </c>
      <c r="B36" s="38">
        <v>3221</v>
      </c>
      <c r="C36" s="39" t="s">
        <v>73</v>
      </c>
      <c r="D36" s="51">
        <v>8694</v>
      </c>
      <c r="E36" s="65">
        <v>35971</v>
      </c>
      <c r="F36" s="223">
        <f t="shared" ref="F36:K36" si="10">SUM(F37:F46)</f>
        <v>43800</v>
      </c>
      <c r="G36" s="223">
        <f t="shared" si="10"/>
        <v>500</v>
      </c>
      <c r="H36" s="223">
        <f t="shared" si="10"/>
        <v>44300</v>
      </c>
      <c r="I36" s="223">
        <f t="shared" si="10"/>
        <v>50</v>
      </c>
      <c r="J36" s="65">
        <f t="shared" si="10"/>
        <v>44370</v>
      </c>
      <c r="K36" s="65">
        <f t="shared" si="10"/>
        <v>35874</v>
      </c>
      <c r="L36" s="223">
        <f>SUM(L37:L46)</f>
        <v>44900</v>
      </c>
      <c r="M36" s="335">
        <f t="shared" si="2"/>
        <v>1.1945007888212756E-2</v>
      </c>
      <c r="N36" s="329">
        <f t="shared" si="3"/>
        <v>530</v>
      </c>
    </row>
    <row r="37" spans="1:14" ht="14.1" customHeight="1">
      <c r="A37" s="24"/>
      <c r="B37" s="261" t="s">
        <v>74</v>
      </c>
      <c r="C37" s="34" t="s">
        <v>75</v>
      </c>
      <c r="D37" s="52">
        <v>1000</v>
      </c>
      <c r="E37" s="95">
        <v>2338</v>
      </c>
      <c r="F37" s="236">
        <v>2500</v>
      </c>
      <c r="G37" s="249">
        <v>500</v>
      </c>
      <c r="H37" s="95">
        <f>+G37+F37</f>
        <v>3000</v>
      </c>
      <c r="I37" s="155"/>
      <c r="J37" s="95">
        <f>+I37+H37</f>
        <v>3000</v>
      </c>
      <c r="K37" s="20">
        <v>3361</v>
      </c>
      <c r="L37" s="236">
        <v>3300</v>
      </c>
      <c r="M37" s="335">
        <f t="shared" si="2"/>
        <v>0.1</v>
      </c>
      <c r="N37" s="329">
        <f t="shared" si="3"/>
        <v>300</v>
      </c>
    </row>
    <row r="38" spans="1:14" ht="14.1" customHeight="1">
      <c r="A38" s="24"/>
      <c r="B38" s="261" t="s">
        <v>76</v>
      </c>
      <c r="C38" s="34" t="s">
        <v>77</v>
      </c>
      <c r="D38" s="52">
        <v>1000</v>
      </c>
      <c r="E38" s="95">
        <v>3000</v>
      </c>
      <c r="F38" s="236">
        <v>4200</v>
      </c>
      <c r="G38" s="155"/>
      <c r="H38" s="95">
        <f t="shared" ref="H38:H44" si="11">+G38+F38</f>
        <v>4200</v>
      </c>
      <c r="I38" s="155"/>
      <c r="J38" s="95">
        <f t="shared" ref="J38:J44" si="12">+I38+H38</f>
        <v>4200</v>
      </c>
      <c r="K38" s="20">
        <v>3845</v>
      </c>
      <c r="L38" s="236">
        <v>4300</v>
      </c>
      <c r="M38" s="335">
        <f t="shared" si="2"/>
        <v>2.3809523809523808E-2</v>
      </c>
      <c r="N38" s="329">
        <f t="shared" si="3"/>
        <v>100</v>
      </c>
    </row>
    <row r="39" spans="1:14" ht="14.1" customHeight="1">
      <c r="A39" s="24"/>
      <c r="B39" s="261" t="s">
        <v>78</v>
      </c>
      <c r="C39" s="34" t="s">
        <v>79</v>
      </c>
      <c r="D39" s="52">
        <v>2800</v>
      </c>
      <c r="E39" s="95">
        <v>27492</v>
      </c>
      <c r="F39" s="236">
        <v>31000</v>
      </c>
      <c r="G39" s="155"/>
      <c r="H39" s="95">
        <f t="shared" si="11"/>
        <v>31000</v>
      </c>
      <c r="I39" s="155"/>
      <c r="J39" s="95">
        <f t="shared" si="12"/>
        <v>31000</v>
      </c>
      <c r="K39" s="20">
        <v>21065</v>
      </c>
      <c r="L39" s="236">
        <v>32000</v>
      </c>
      <c r="M39" s="335">
        <f t="shared" si="2"/>
        <v>3.2258064516129031E-2</v>
      </c>
      <c r="N39" s="329">
        <f t="shared" si="3"/>
        <v>1000</v>
      </c>
    </row>
    <row r="40" spans="1:14" ht="12.6">
      <c r="A40" s="24"/>
      <c r="B40" s="291">
        <v>322107</v>
      </c>
      <c r="C40" s="34" t="s">
        <v>80</v>
      </c>
      <c r="D40" s="52">
        <v>1000</v>
      </c>
      <c r="E40" s="95">
        <v>2019</v>
      </c>
      <c r="F40" s="236">
        <v>5000</v>
      </c>
      <c r="G40" s="155"/>
      <c r="H40" s="95">
        <f t="shared" si="11"/>
        <v>5000</v>
      </c>
      <c r="I40" s="155"/>
      <c r="J40" s="95">
        <f t="shared" si="12"/>
        <v>5000</v>
      </c>
      <c r="K40" s="20">
        <v>1192</v>
      </c>
      <c r="L40" s="236">
        <v>4000</v>
      </c>
      <c r="M40" s="335">
        <f t="shared" si="2"/>
        <v>-0.2</v>
      </c>
      <c r="N40" s="329">
        <f t="shared" si="3"/>
        <v>-1000</v>
      </c>
    </row>
    <row r="41" spans="1:14" ht="12.95" customHeight="1">
      <c r="A41" s="24"/>
      <c r="B41" s="290">
        <v>332105</v>
      </c>
      <c r="C41" s="34" t="s">
        <v>81</v>
      </c>
      <c r="D41" s="52">
        <v>0</v>
      </c>
      <c r="E41" s="95">
        <v>1050</v>
      </c>
      <c r="F41" s="236">
        <v>1000</v>
      </c>
      <c r="G41" s="155"/>
      <c r="H41" s="95">
        <f t="shared" si="11"/>
        <v>1000</v>
      </c>
      <c r="I41" s="155"/>
      <c r="J41" s="95">
        <f t="shared" si="12"/>
        <v>1000</v>
      </c>
      <c r="K41" s="20">
        <v>870</v>
      </c>
      <c r="L41" s="236">
        <v>1000</v>
      </c>
      <c r="M41" s="335">
        <f t="shared" si="2"/>
        <v>0</v>
      </c>
      <c r="N41" s="329">
        <f t="shared" si="3"/>
        <v>0</v>
      </c>
    </row>
    <row r="42" spans="1:14" ht="14.1" customHeight="1">
      <c r="A42" s="24"/>
      <c r="B42" s="290">
        <v>332106</v>
      </c>
      <c r="C42" s="34" t="s">
        <v>82</v>
      </c>
      <c r="D42" s="52">
        <v>300</v>
      </c>
      <c r="E42" s="95">
        <v>72</v>
      </c>
      <c r="F42" s="236">
        <v>100</v>
      </c>
      <c r="G42" s="155"/>
      <c r="H42" s="95">
        <f>+G42+F42</f>
        <v>100</v>
      </c>
      <c r="I42" s="155"/>
      <c r="J42" s="95">
        <f>+I42+H42</f>
        <v>100</v>
      </c>
      <c r="K42" s="20">
        <v>5488</v>
      </c>
      <c r="L42" s="236">
        <v>80</v>
      </c>
      <c r="M42" s="335">
        <f t="shared" si="2"/>
        <v>-0.2</v>
      </c>
      <c r="N42" s="329">
        <f t="shared" si="3"/>
        <v>-20</v>
      </c>
    </row>
    <row r="43" spans="1:14" ht="14.1" customHeight="1">
      <c r="A43" s="24"/>
      <c r="B43" s="290">
        <v>332108</v>
      </c>
      <c r="C43" s="34" t="s">
        <v>83</v>
      </c>
      <c r="D43" s="52"/>
      <c r="E43" s="95"/>
      <c r="F43" s="236"/>
      <c r="G43" s="155"/>
      <c r="H43" s="95"/>
      <c r="I43" s="155"/>
      <c r="J43" s="95"/>
      <c r="L43" s="236">
        <v>80</v>
      </c>
      <c r="M43" s="335"/>
      <c r="N43" s="329">
        <f t="shared" si="3"/>
        <v>80</v>
      </c>
    </row>
    <row r="44" spans="1:14" ht="12.6">
      <c r="A44" s="24"/>
      <c r="B44" s="290">
        <v>322109</v>
      </c>
      <c r="C44" s="34" t="s">
        <v>84</v>
      </c>
      <c r="D44" s="52">
        <v>300</v>
      </c>
      <c r="E44" s="95">
        <v>0</v>
      </c>
      <c r="F44" s="236">
        <v>0</v>
      </c>
      <c r="G44" s="155"/>
      <c r="H44" s="95">
        <f t="shared" si="11"/>
        <v>0</v>
      </c>
      <c r="I44" s="155">
        <v>50</v>
      </c>
      <c r="J44" s="95">
        <f t="shared" si="12"/>
        <v>50</v>
      </c>
      <c r="K44" s="20">
        <v>21</v>
      </c>
      <c r="L44" s="236">
        <v>80</v>
      </c>
      <c r="M44" s="335">
        <f t="shared" si="2"/>
        <v>0.6</v>
      </c>
      <c r="N44" s="329">
        <f t="shared" si="3"/>
        <v>30</v>
      </c>
    </row>
    <row r="45" spans="1:14" ht="12.6">
      <c r="A45" s="24"/>
      <c r="B45" s="290">
        <v>322110</v>
      </c>
      <c r="C45" s="34" t="s">
        <v>85</v>
      </c>
      <c r="D45" s="52"/>
      <c r="E45" s="95"/>
      <c r="F45" s="236"/>
      <c r="G45" s="289"/>
      <c r="H45" s="95"/>
      <c r="I45" s="289"/>
      <c r="J45" s="95"/>
      <c r="L45" s="236">
        <v>40</v>
      </c>
      <c r="M45" s="335"/>
      <c r="N45" s="329">
        <f t="shared" si="3"/>
        <v>40</v>
      </c>
    </row>
    <row r="46" spans="1:14" ht="14.1" customHeight="1">
      <c r="A46" s="24"/>
      <c r="B46" s="290">
        <v>322111</v>
      </c>
      <c r="C46" s="34" t="s">
        <v>86</v>
      </c>
      <c r="D46" s="52">
        <v>794</v>
      </c>
      <c r="E46" s="95"/>
      <c r="F46" s="236"/>
      <c r="G46" s="289"/>
      <c r="H46" s="95"/>
      <c r="I46" s="289"/>
      <c r="J46" s="95">
        <v>20</v>
      </c>
      <c r="K46" s="20">
        <v>32</v>
      </c>
      <c r="L46" s="236">
        <v>20</v>
      </c>
      <c r="M46" s="335">
        <f t="shared" si="2"/>
        <v>0</v>
      </c>
      <c r="N46" s="329">
        <f t="shared" si="3"/>
        <v>0</v>
      </c>
    </row>
    <row r="47" spans="1:14" s="2" customFormat="1" ht="14.1" customHeight="1">
      <c r="A47" s="41">
        <v>3222</v>
      </c>
      <c r="B47" s="38">
        <v>3222</v>
      </c>
      <c r="C47" s="39" t="s">
        <v>87</v>
      </c>
      <c r="D47" s="51">
        <v>103350</v>
      </c>
      <c r="E47" s="65">
        <v>156415</v>
      </c>
      <c r="F47" s="223">
        <f t="shared" ref="F47:K47" si="13">SUM(F48:F55)</f>
        <v>179000</v>
      </c>
      <c r="G47" s="223">
        <f t="shared" si="13"/>
        <v>19000</v>
      </c>
      <c r="H47" s="223">
        <f t="shared" si="13"/>
        <v>198000</v>
      </c>
      <c r="I47" s="223">
        <f t="shared" si="13"/>
        <v>5000</v>
      </c>
      <c r="J47" s="65">
        <f t="shared" si="13"/>
        <v>203000</v>
      </c>
      <c r="K47" s="65">
        <f t="shared" si="13"/>
        <v>138670</v>
      </c>
      <c r="L47" s="223">
        <f>SUM(L48:L55)</f>
        <v>244600</v>
      </c>
      <c r="M47" s="335">
        <f t="shared" si="2"/>
        <v>0.20492610837438424</v>
      </c>
      <c r="N47" s="329">
        <f t="shared" si="3"/>
        <v>41600</v>
      </c>
    </row>
    <row r="48" spans="1:14" ht="14.1" customHeight="1">
      <c r="A48" s="32"/>
      <c r="B48" s="33" t="s">
        <v>88</v>
      </c>
      <c r="C48" s="34" t="s">
        <v>89</v>
      </c>
      <c r="D48" s="52">
        <v>1500</v>
      </c>
      <c r="E48" s="95">
        <v>2015</v>
      </c>
      <c r="F48" s="236">
        <v>1500</v>
      </c>
      <c r="G48" s="249">
        <v>1000</v>
      </c>
      <c r="H48" s="95">
        <f>+G48+F48</f>
        <v>2500</v>
      </c>
      <c r="I48" s="155"/>
      <c r="J48" s="95">
        <f>+I48+H48</f>
        <v>2500</v>
      </c>
      <c r="K48" s="20">
        <v>1433</v>
      </c>
      <c r="L48" s="236">
        <v>2600</v>
      </c>
      <c r="M48" s="335">
        <f>(L48-J48)/J48</f>
        <v>0.04</v>
      </c>
      <c r="N48" s="329">
        <f t="shared" si="3"/>
        <v>100</v>
      </c>
    </row>
    <row r="49" spans="1:14" ht="14.1" customHeight="1">
      <c r="A49" s="32"/>
      <c r="B49" s="33" t="s">
        <v>90</v>
      </c>
      <c r="C49" s="34" t="s">
        <v>91</v>
      </c>
      <c r="D49" s="52">
        <v>8000</v>
      </c>
      <c r="E49" s="95">
        <v>18000</v>
      </c>
      <c r="F49" s="236">
        <v>18000</v>
      </c>
      <c r="G49" s="155"/>
      <c r="H49" s="95">
        <f>+G49+F49</f>
        <v>18000</v>
      </c>
      <c r="I49" s="155"/>
      <c r="J49" s="95">
        <f>+I49+H49</f>
        <v>18000</v>
      </c>
      <c r="K49" s="20">
        <v>16034</v>
      </c>
      <c r="L49" s="236">
        <v>22000</v>
      </c>
      <c r="M49" s="335">
        <f>(L49-J49)/J49</f>
        <v>0.22222222222222221</v>
      </c>
      <c r="N49" s="329">
        <f t="shared" si="3"/>
        <v>4000</v>
      </c>
    </row>
    <row r="50" spans="1:14" ht="14.1" customHeight="1">
      <c r="A50" s="32"/>
      <c r="B50" s="33" t="s">
        <v>92</v>
      </c>
      <c r="C50" s="34" t="s">
        <v>93</v>
      </c>
      <c r="D50" s="52">
        <v>20000</v>
      </c>
      <c r="E50" s="95">
        <v>22000</v>
      </c>
      <c r="F50" s="236">
        <v>15000</v>
      </c>
      <c r="G50" s="155"/>
      <c r="H50" s="95">
        <f t="shared" ref="H50" si="14">+G50+F50</f>
        <v>15000</v>
      </c>
      <c r="I50" s="155"/>
      <c r="J50" s="95">
        <f t="shared" ref="J50" si="15">+I50+H50</f>
        <v>15000</v>
      </c>
      <c r="K50" s="20">
        <v>15408</v>
      </c>
      <c r="L50" s="236">
        <v>20000</v>
      </c>
      <c r="M50" s="335">
        <f t="shared" si="2"/>
        <v>0.33333333333333331</v>
      </c>
      <c r="N50" s="329">
        <f t="shared" si="3"/>
        <v>5000</v>
      </c>
    </row>
    <row r="51" spans="1:14" ht="14.1" customHeight="1">
      <c r="A51" s="32"/>
      <c r="B51" s="33" t="s">
        <v>94</v>
      </c>
      <c r="C51" s="34" t="s">
        <v>95</v>
      </c>
      <c r="D51" s="52">
        <v>6000</v>
      </c>
      <c r="E51" s="95">
        <v>27000</v>
      </c>
      <c r="F51" s="236">
        <v>24000</v>
      </c>
      <c r="G51" s="249">
        <v>6000</v>
      </c>
      <c r="H51" s="95">
        <f>+G51+F51</f>
        <v>30000</v>
      </c>
      <c r="I51" s="155"/>
      <c r="J51" s="95">
        <f>+I51+H51</f>
        <v>30000</v>
      </c>
      <c r="K51" s="20">
        <v>21451</v>
      </c>
      <c r="L51" s="236">
        <v>38000</v>
      </c>
      <c r="M51" s="335">
        <f>(L51-J51)/J51</f>
        <v>0.26666666666666666</v>
      </c>
      <c r="N51" s="329">
        <f t="shared" si="3"/>
        <v>8000</v>
      </c>
    </row>
    <row r="52" spans="1:14" ht="14.1" customHeight="1">
      <c r="A52" s="32"/>
      <c r="B52" s="33" t="s">
        <v>96</v>
      </c>
      <c r="C52" s="34" t="s">
        <v>97</v>
      </c>
      <c r="D52" s="52">
        <v>1500</v>
      </c>
      <c r="E52" s="95">
        <v>2400</v>
      </c>
      <c r="F52" s="236">
        <v>2000</v>
      </c>
      <c r="G52" s="155"/>
      <c r="H52" s="95">
        <f>+G52+F52</f>
        <v>2000</v>
      </c>
      <c r="I52" s="155"/>
      <c r="J52" s="95">
        <f>+I52+H52</f>
        <v>2000</v>
      </c>
      <c r="K52" s="20">
        <v>1484</v>
      </c>
      <c r="L52" s="236">
        <v>2000</v>
      </c>
      <c r="M52" s="335">
        <f>(L52-J52)/J52</f>
        <v>0</v>
      </c>
      <c r="N52" s="329">
        <f t="shared" si="3"/>
        <v>0</v>
      </c>
    </row>
    <row r="53" spans="1:14" ht="14.1" customHeight="1">
      <c r="A53" s="32"/>
      <c r="B53" s="33" t="s">
        <v>98</v>
      </c>
      <c r="C53" s="34" t="s">
        <v>99</v>
      </c>
      <c r="D53" s="52">
        <v>28350</v>
      </c>
      <c r="E53" s="95">
        <v>50000</v>
      </c>
      <c r="F53" s="236">
        <v>80000</v>
      </c>
      <c r="G53" s="249">
        <v>-8000</v>
      </c>
      <c r="H53" s="95">
        <f>+G53+F53</f>
        <v>72000</v>
      </c>
      <c r="I53" s="155"/>
      <c r="J53" s="95">
        <f>+I53+H53</f>
        <v>72000</v>
      </c>
      <c r="K53" s="20">
        <v>43885</v>
      </c>
      <c r="L53" s="236">
        <v>85000</v>
      </c>
      <c r="M53" s="335">
        <f>(L53-J53)/J53</f>
        <v>0.18055555555555555</v>
      </c>
      <c r="N53" s="329">
        <f t="shared" si="3"/>
        <v>13000</v>
      </c>
    </row>
    <row r="54" spans="1:14" ht="14.1" customHeight="1">
      <c r="A54" s="32"/>
      <c r="B54" s="33" t="s">
        <v>100</v>
      </c>
      <c r="C54" s="34" t="s">
        <v>101</v>
      </c>
      <c r="D54" s="52">
        <v>30000</v>
      </c>
      <c r="E54" s="95">
        <v>30000</v>
      </c>
      <c r="F54" s="236">
        <v>25000</v>
      </c>
      <c r="G54" s="249">
        <v>20000</v>
      </c>
      <c r="H54" s="95">
        <f>+G54+F54</f>
        <v>45000</v>
      </c>
      <c r="I54" s="155">
        <v>5000</v>
      </c>
      <c r="J54" s="95">
        <f>+I54+H54</f>
        <v>50000</v>
      </c>
      <c r="K54" s="20">
        <v>32867</v>
      </c>
      <c r="L54" s="236">
        <v>60000</v>
      </c>
      <c r="M54" s="335">
        <f>(L54-J54)/J54</f>
        <v>0.2</v>
      </c>
      <c r="N54" s="329">
        <f t="shared" si="3"/>
        <v>10000</v>
      </c>
    </row>
    <row r="55" spans="1:14" ht="14.1" customHeight="1">
      <c r="A55" s="32"/>
      <c r="B55" s="33" t="s">
        <v>102</v>
      </c>
      <c r="C55" s="34" t="s">
        <v>103</v>
      </c>
      <c r="D55" s="52">
        <v>8000</v>
      </c>
      <c r="E55" s="95">
        <v>5000</v>
      </c>
      <c r="F55" s="236">
        <v>13500</v>
      </c>
      <c r="G55" s="155"/>
      <c r="H55" s="95">
        <f>+G55+F55</f>
        <v>13500</v>
      </c>
      <c r="I55" s="155"/>
      <c r="J55" s="95">
        <f>+I55+H55</f>
        <v>13500</v>
      </c>
      <c r="K55" s="20">
        <v>6108</v>
      </c>
      <c r="L55" s="236">
        <v>15000</v>
      </c>
      <c r="M55" s="335">
        <f>(L55-J55)/J55</f>
        <v>0.1111111111111111</v>
      </c>
      <c r="N55" s="329">
        <f t="shared" si="3"/>
        <v>1500</v>
      </c>
    </row>
    <row r="56" spans="1:14" ht="14.1" customHeight="1">
      <c r="A56" s="37">
        <v>3224</v>
      </c>
      <c r="B56" s="38">
        <v>3224</v>
      </c>
      <c r="C56" s="39" t="s">
        <v>104</v>
      </c>
      <c r="D56" s="99">
        <v>101200</v>
      </c>
      <c r="E56" s="99">
        <v>93850</v>
      </c>
      <c r="F56" s="222">
        <f t="shared" ref="F56:K56" si="16">SUM(F57:F69)</f>
        <v>91500</v>
      </c>
      <c r="G56" s="222">
        <f t="shared" si="16"/>
        <v>0</v>
      </c>
      <c r="H56" s="222">
        <f t="shared" si="16"/>
        <v>91500</v>
      </c>
      <c r="I56" s="222">
        <f t="shared" si="16"/>
        <v>-11500</v>
      </c>
      <c r="J56" s="99">
        <f t="shared" si="16"/>
        <v>80000</v>
      </c>
      <c r="K56" s="99">
        <f t="shared" si="16"/>
        <v>68507</v>
      </c>
      <c r="L56" s="222">
        <f>SUM(L57:L69)</f>
        <v>88700</v>
      </c>
      <c r="M56" s="335">
        <f t="shared" si="2"/>
        <v>0.10875</v>
      </c>
      <c r="N56" s="329">
        <f t="shared" si="3"/>
        <v>8700</v>
      </c>
    </row>
    <row r="57" spans="1:14" ht="12.75" customHeight="1">
      <c r="A57" s="37"/>
      <c r="B57" s="38"/>
      <c r="C57" s="34" t="s">
        <v>105</v>
      </c>
      <c r="D57" s="52">
        <v>0</v>
      </c>
      <c r="E57" s="95">
        <v>0</v>
      </c>
      <c r="F57" s="236">
        <v>0</v>
      </c>
      <c r="G57" s="155"/>
      <c r="H57" s="95">
        <f t="shared" ref="H57:H75" si="17">+G57+F57</f>
        <v>0</v>
      </c>
      <c r="I57" s="155"/>
      <c r="J57" s="95">
        <f t="shared" ref="J57:J60" si="18">+I57+H57</f>
        <v>0</v>
      </c>
      <c r="L57" s="236">
        <v>0</v>
      </c>
      <c r="M57" s="335" t="e">
        <f t="shared" si="2"/>
        <v>#DIV/0!</v>
      </c>
      <c r="N57" s="329">
        <f t="shared" si="3"/>
        <v>0</v>
      </c>
    </row>
    <row r="58" spans="1:14" ht="14.1" customHeight="1">
      <c r="A58" s="32"/>
      <c r="B58" s="32" t="s">
        <v>106</v>
      </c>
      <c r="C58" s="34" t="s">
        <v>107</v>
      </c>
      <c r="D58" s="52">
        <v>30000</v>
      </c>
      <c r="E58" s="95">
        <v>30000</v>
      </c>
      <c r="F58" s="236">
        <v>30000</v>
      </c>
      <c r="G58" s="155"/>
      <c r="H58" s="95">
        <f t="shared" si="17"/>
        <v>30000</v>
      </c>
      <c r="I58" s="155"/>
      <c r="J58" s="95">
        <f t="shared" si="18"/>
        <v>30000</v>
      </c>
      <c r="K58" s="20">
        <v>23687</v>
      </c>
      <c r="L58" s="236">
        <v>30000</v>
      </c>
      <c r="M58" s="335">
        <f t="shared" si="2"/>
        <v>0</v>
      </c>
      <c r="N58" s="329">
        <f t="shared" si="3"/>
        <v>0</v>
      </c>
    </row>
    <row r="59" spans="1:14" ht="14.1" customHeight="1">
      <c r="A59" s="32"/>
      <c r="B59" s="32" t="s">
        <v>108</v>
      </c>
      <c r="C59" s="34" t="s">
        <v>109</v>
      </c>
      <c r="D59" s="52">
        <v>1000</v>
      </c>
      <c r="E59" s="95">
        <v>500</v>
      </c>
      <c r="F59" s="236">
        <v>500</v>
      </c>
      <c r="G59" s="155"/>
      <c r="H59" s="95">
        <f t="shared" si="17"/>
        <v>500</v>
      </c>
      <c r="I59" s="155"/>
      <c r="J59" s="95">
        <f t="shared" si="18"/>
        <v>500</v>
      </c>
      <c r="K59" s="20">
        <v>459</v>
      </c>
      <c r="L59" s="236">
        <v>700</v>
      </c>
      <c r="M59" s="335">
        <f t="shared" si="2"/>
        <v>0.4</v>
      </c>
      <c r="N59" s="329">
        <f t="shared" si="3"/>
        <v>200</v>
      </c>
    </row>
    <row r="60" spans="1:14" s="8" customFormat="1" ht="14.1" customHeight="1">
      <c r="A60" s="32"/>
      <c r="B60" s="32" t="s">
        <v>110</v>
      </c>
      <c r="C60" s="34" t="s">
        <v>111</v>
      </c>
      <c r="D60" s="52">
        <v>0</v>
      </c>
      <c r="E60" s="95">
        <v>5000</v>
      </c>
      <c r="F60" s="236">
        <v>5000</v>
      </c>
      <c r="G60" s="155"/>
      <c r="H60" s="95">
        <f t="shared" si="17"/>
        <v>5000</v>
      </c>
      <c r="I60" s="155"/>
      <c r="J60" s="95">
        <f t="shared" si="18"/>
        <v>5000</v>
      </c>
      <c r="K60" s="20">
        <v>3485</v>
      </c>
      <c r="L60" s="236">
        <v>5500</v>
      </c>
      <c r="M60" s="335">
        <f t="shared" si="2"/>
        <v>0.1</v>
      </c>
      <c r="N60" s="329">
        <f t="shared" si="3"/>
        <v>500</v>
      </c>
    </row>
    <row r="61" spans="1:14" ht="14.1" customHeight="1">
      <c r="A61" s="32"/>
      <c r="B61" s="32" t="s">
        <v>112</v>
      </c>
      <c r="C61" s="34" t="s">
        <v>113</v>
      </c>
      <c r="D61" s="52">
        <v>23000</v>
      </c>
      <c r="E61" s="95">
        <v>23000</v>
      </c>
      <c r="F61" s="236">
        <v>17000</v>
      </c>
      <c r="G61" s="249">
        <v>3000</v>
      </c>
      <c r="H61" s="95">
        <f>+G61+F61</f>
        <v>20000</v>
      </c>
      <c r="I61" s="155"/>
      <c r="J61" s="95">
        <f>+I61+H61</f>
        <v>20000</v>
      </c>
      <c r="K61" s="20">
        <v>13155</v>
      </c>
      <c r="L61" s="236">
        <v>20000</v>
      </c>
      <c r="M61" s="335">
        <f t="shared" si="2"/>
        <v>0</v>
      </c>
      <c r="N61" s="329">
        <f t="shared" si="3"/>
        <v>0</v>
      </c>
    </row>
    <row r="62" spans="1:14" ht="14.1" customHeight="1">
      <c r="A62" s="32"/>
      <c r="B62" s="32" t="s">
        <v>114</v>
      </c>
      <c r="C62" s="34" t="s">
        <v>115</v>
      </c>
      <c r="D62" s="52">
        <v>5700</v>
      </c>
      <c r="E62" s="95">
        <v>5000</v>
      </c>
      <c r="F62" s="236">
        <v>2500</v>
      </c>
      <c r="G62" s="155"/>
      <c r="H62" s="95">
        <f>+G62+F62</f>
        <v>2500</v>
      </c>
      <c r="I62" s="155"/>
      <c r="J62" s="95">
        <f>+I62+H62</f>
        <v>2500</v>
      </c>
      <c r="K62" s="20">
        <v>1422</v>
      </c>
      <c r="L62" s="236">
        <v>2500</v>
      </c>
      <c r="M62" s="335">
        <f t="shared" si="2"/>
        <v>0</v>
      </c>
      <c r="N62" s="329">
        <f t="shared" si="3"/>
        <v>0</v>
      </c>
    </row>
    <row r="63" spans="1:14" ht="12.6">
      <c r="A63" s="32"/>
      <c r="B63" s="32" t="s">
        <v>116</v>
      </c>
      <c r="C63" s="34" t="s">
        <v>117</v>
      </c>
      <c r="D63" s="52">
        <v>0</v>
      </c>
      <c r="E63" s="95">
        <v>0</v>
      </c>
      <c r="F63" s="236">
        <v>23000</v>
      </c>
      <c r="G63" s="249">
        <v>-3000</v>
      </c>
      <c r="H63" s="95">
        <f t="shared" si="17"/>
        <v>20000</v>
      </c>
      <c r="I63" s="155"/>
      <c r="J63" s="95">
        <f t="shared" ref="J63:J67" si="19">+I63+H63</f>
        <v>20000</v>
      </c>
      <c r="K63" s="20">
        <v>17214</v>
      </c>
      <c r="L63" s="236">
        <v>22000</v>
      </c>
      <c r="M63" s="335">
        <f t="shared" si="2"/>
        <v>0.1</v>
      </c>
      <c r="N63" s="329">
        <f t="shared" si="3"/>
        <v>2000</v>
      </c>
    </row>
    <row r="64" spans="1:14" ht="12.6">
      <c r="A64" s="32"/>
      <c r="B64" s="33"/>
      <c r="C64" s="34" t="s">
        <v>118</v>
      </c>
      <c r="D64" s="52">
        <v>0</v>
      </c>
      <c r="E64" s="95">
        <v>0</v>
      </c>
      <c r="F64" s="236"/>
      <c r="G64" s="155"/>
      <c r="H64" s="95">
        <f t="shared" si="17"/>
        <v>0</v>
      </c>
      <c r="I64" s="155"/>
      <c r="J64" s="95">
        <f t="shared" si="19"/>
        <v>0</v>
      </c>
      <c r="K64" s="20">
        <v>26</v>
      </c>
      <c r="L64" s="236"/>
      <c r="M64" s="335" t="e">
        <f t="shared" si="2"/>
        <v>#DIV/0!</v>
      </c>
      <c r="N64" s="329">
        <f t="shared" si="3"/>
        <v>0</v>
      </c>
    </row>
    <row r="65" spans="1:14" ht="12.6">
      <c r="A65" s="32"/>
      <c r="B65" s="33"/>
      <c r="C65" s="34"/>
      <c r="D65" s="52">
        <v>0</v>
      </c>
      <c r="E65" s="95">
        <v>0</v>
      </c>
      <c r="F65" s="236"/>
      <c r="G65" s="155"/>
      <c r="H65" s="95">
        <f t="shared" si="17"/>
        <v>0</v>
      </c>
      <c r="I65" s="155"/>
      <c r="J65" s="95">
        <f t="shared" si="19"/>
        <v>0</v>
      </c>
      <c r="L65" s="236"/>
      <c r="M65" s="335" t="e">
        <f t="shared" si="2"/>
        <v>#DIV/0!</v>
      </c>
      <c r="N65" s="329">
        <f t="shared" si="3"/>
        <v>0</v>
      </c>
    </row>
    <row r="66" spans="1:14" ht="12.6">
      <c r="A66" s="32"/>
      <c r="B66" s="33" t="s">
        <v>119</v>
      </c>
      <c r="C66" s="34" t="s">
        <v>120</v>
      </c>
      <c r="D66" s="52">
        <v>0</v>
      </c>
      <c r="E66" s="95">
        <v>8350</v>
      </c>
      <c r="F66" s="236">
        <v>13500</v>
      </c>
      <c r="G66" s="155"/>
      <c r="H66" s="95">
        <f t="shared" si="17"/>
        <v>13500</v>
      </c>
      <c r="I66" s="155">
        <v>-13500</v>
      </c>
      <c r="J66" s="95">
        <f t="shared" si="19"/>
        <v>0</v>
      </c>
      <c r="K66" s="20">
        <v>6159</v>
      </c>
      <c r="L66" s="236"/>
      <c r="M66" s="335" t="e">
        <f t="shared" si="2"/>
        <v>#DIV/0!</v>
      </c>
      <c r="N66" s="329">
        <f t="shared" si="3"/>
        <v>0</v>
      </c>
    </row>
    <row r="67" spans="1:14" s="8" customFormat="1" ht="14.1" customHeight="1">
      <c r="A67" s="32"/>
      <c r="B67" s="33" t="s">
        <v>121</v>
      </c>
      <c r="C67" s="34" t="s">
        <v>122</v>
      </c>
      <c r="D67" s="52">
        <v>41500</v>
      </c>
      <c r="E67" s="95">
        <v>22000</v>
      </c>
      <c r="F67" s="236"/>
      <c r="G67" s="155"/>
      <c r="H67" s="95">
        <f t="shared" si="17"/>
        <v>0</v>
      </c>
      <c r="I67" s="155"/>
      <c r="J67" s="95">
        <f t="shared" si="19"/>
        <v>0</v>
      </c>
      <c r="K67" s="20">
        <v>150</v>
      </c>
      <c r="L67" s="236"/>
      <c r="M67" s="335" t="e">
        <f t="shared" si="2"/>
        <v>#DIV/0!</v>
      </c>
      <c r="N67" s="329">
        <f t="shared" si="3"/>
        <v>0</v>
      </c>
    </row>
    <row r="68" spans="1:14" s="8" customFormat="1" ht="14.1" customHeight="1">
      <c r="A68" s="32"/>
      <c r="B68" s="33" t="s">
        <v>123</v>
      </c>
      <c r="C68" s="284" t="s">
        <v>124</v>
      </c>
      <c r="D68" s="52">
        <v>0</v>
      </c>
      <c r="E68" s="95">
        <v>0</v>
      </c>
      <c r="F68" s="236"/>
      <c r="G68" s="155"/>
      <c r="H68" s="95">
        <f>+G68+F68</f>
        <v>0</v>
      </c>
      <c r="I68" s="155">
        <v>2000</v>
      </c>
      <c r="J68" s="95">
        <f>+I68+H68</f>
        <v>2000</v>
      </c>
      <c r="K68" s="20">
        <v>2750</v>
      </c>
      <c r="L68" s="236">
        <v>8000</v>
      </c>
      <c r="M68" s="335">
        <f>(L68-J68)/J68</f>
        <v>3</v>
      </c>
      <c r="N68" s="329">
        <f t="shared" si="3"/>
        <v>6000</v>
      </c>
    </row>
    <row r="69" spans="1:14" s="8" customFormat="1" ht="14.1" customHeight="1">
      <c r="A69" s="32"/>
      <c r="B69" s="33"/>
      <c r="C69" s="34"/>
      <c r="D69" s="52"/>
      <c r="E69" s="95"/>
      <c r="F69" s="236"/>
      <c r="G69" s="155"/>
      <c r="H69" s="95"/>
      <c r="I69" s="155"/>
      <c r="J69" s="95"/>
      <c r="K69" s="20"/>
      <c r="L69" s="236"/>
      <c r="M69" s="335"/>
      <c r="N69" s="329">
        <f t="shared" si="3"/>
        <v>0</v>
      </c>
    </row>
    <row r="70" spans="1:14" s="2" customFormat="1" ht="14.1" customHeight="1">
      <c r="A70" s="37" t="s">
        <v>125</v>
      </c>
      <c r="B70" s="33">
        <v>3225</v>
      </c>
      <c r="C70" s="39" t="s">
        <v>126</v>
      </c>
      <c r="D70" s="51">
        <v>9000</v>
      </c>
      <c r="E70" s="99">
        <v>16000</v>
      </c>
      <c r="F70" s="222">
        <v>25000</v>
      </c>
      <c r="G70" s="94"/>
      <c r="H70" s="99">
        <f>+G70+F70</f>
        <v>25000</v>
      </c>
      <c r="I70" s="155">
        <v>5000</v>
      </c>
      <c r="J70" s="99">
        <f>+I70+H70</f>
        <v>30000</v>
      </c>
      <c r="K70" s="16">
        <v>22537</v>
      </c>
      <c r="L70" s="222">
        <v>35000</v>
      </c>
      <c r="M70" s="335">
        <f t="shared" si="2"/>
        <v>0.16666666666666666</v>
      </c>
      <c r="N70" s="329">
        <f t="shared" ref="N70:N133" si="20">L70-J70</f>
        <v>5000</v>
      </c>
    </row>
    <row r="71" spans="1:14" s="2" customFormat="1" ht="12.6">
      <c r="A71" s="37" t="s">
        <v>127</v>
      </c>
      <c r="B71" s="33">
        <v>3229</v>
      </c>
      <c r="C71" s="39" t="s">
        <v>128</v>
      </c>
      <c r="D71" s="51">
        <v>1500</v>
      </c>
      <c r="E71" s="99">
        <v>3000</v>
      </c>
      <c r="F71" s="222">
        <v>5000</v>
      </c>
      <c r="G71" s="94"/>
      <c r="H71" s="99">
        <f t="shared" si="17"/>
        <v>5000</v>
      </c>
      <c r="I71" s="94"/>
      <c r="J71" s="99">
        <f t="shared" ref="J71:J75" si="21">+I71+H71</f>
        <v>5000</v>
      </c>
      <c r="K71" s="16">
        <v>2127</v>
      </c>
      <c r="L71" s="222">
        <v>3000</v>
      </c>
      <c r="M71" s="335">
        <f t="shared" si="2"/>
        <v>-0.4</v>
      </c>
      <c r="N71" s="329">
        <f t="shared" si="20"/>
        <v>-2000</v>
      </c>
    </row>
    <row r="72" spans="1:14" s="2" customFormat="1" ht="12.6">
      <c r="A72" s="37" t="s">
        <v>129</v>
      </c>
      <c r="B72" s="33">
        <v>3230</v>
      </c>
      <c r="C72" s="39" t="s">
        <v>130</v>
      </c>
      <c r="D72" s="51">
        <v>0</v>
      </c>
      <c r="E72" s="99">
        <v>0</v>
      </c>
      <c r="F72" s="222">
        <v>0</v>
      </c>
      <c r="G72" s="94"/>
      <c r="H72" s="99">
        <f t="shared" si="17"/>
        <v>0</v>
      </c>
      <c r="I72" s="94"/>
      <c r="J72" s="99">
        <f t="shared" si="21"/>
        <v>0</v>
      </c>
      <c r="K72" s="16"/>
      <c r="L72" s="222">
        <v>0</v>
      </c>
      <c r="M72" s="335" t="e">
        <f t="shared" si="2"/>
        <v>#DIV/0!</v>
      </c>
      <c r="N72" s="329">
        <f t="shared" si="20"/>
        <v>0</v>
      </c>
    </row>
    <row r="73" spans="1:14" s="2" customFormat="1" ht="12.6">
      <c r="A73" s="37" t="s">
        <v>131</v>
      </c>
      <c r="B73" s="33">
        <v>3233</v>
      </c>
      <c r="C73" s="39" t="s">
        <v>132</v>
      </c>
      <c r="D73" s="51">
        <v>20000</v>
      </c>
      <c r="E73" s="99">
        <v>12000</v>
      </c>
      <c r="F73" s="222">
        <v>20000</v>
      </c>
      <c r="G73" s="94"/>
      <c r="H73" s="99">
        <f t="shared" si="17"/>
        <v>20000</v>
      </c>
      <c r="I73" s="94"/>
      <c r="J73" s="99">
        <f t="shared" si="21"/>
        <v>20000</v>
      </c>
      <c r="K73" s="16">
        <v>13842</v>
      </c>
      <c r="L73" s="222">
        <v>22800</v>
      </c>
      <c r="M73" s="335">
        <f t="shared" ref="M73:M137" si="22">(L73-J73)/J73</f>
        <v>0.14000000000000001</v>
      </c>
      <c r="N73" s="329">
        <f t="shared" si="20"/>
        <v>2800</v>
      </c>
    </row>
    <row r="74" spans="1:14" s="2" customFormat="1" ht="14.1" customHeight="1">
      <c r="A74" s="37" t="s">
        <v>133</v>
      </c>
      <c r="B74" s="33">
        <v>3237</v>
      </c>
      <c r="C74" s="39" t="s">
        <v>134</v>
      </c>
      <c r="D74" s="51">
        <v>27000</v>
      </c>
      <c r="E74" s="99">
        <v>3000</v>
      </c>
      <c r="F74" s="222">
        <v>3000</v>
      </c>
      <c r="G74" s="94"/>
      <c r="H74" s="99">
        <f t="shared" si="17"/>
        <v>3000</v>
      </c>
      <c r="I74" s="94"/>
      <c r="J74" s="99">
        <f t="shared" si="21"/>
        <v>3000</v>
      </c>
      <c r="K74" s="16">
        <v>6828</v>
      </c>
      <c r="L74" s="222">
        <v>3000</v>
      </c>
      <c r="M74" s="335">
        <f t="shared" si="22"/>
        <v>0</v>
      </c>
      <c r="N74" s="329">
        <f t="shared" si="20"/>
        <v>0</v>
      </c>
    </row>
    <row r="75" spans="1:14" s="2" customFormat="1" ht="14.1" customHeight="1">
      <c r="A75" s="37" t="s">
        <v>135</v>
      </c>
      <c r="B75" s="33">
        <v>3238</v>
      </c>
      <c r="C75" s="39" t="s">
        <v>136</v>
      </c>
      <c r="D75" s="51">
        <v>0</v>
      </c>
      <c r="E75" s="99">
        <v>1405</v>
      </c>
      <c r="F75" s="222">
        <v>500</v>
      </c>
      <c r="G75" s="94"/>
      <c r="H75" s="99">
        <f t="shared" si="17"/>
        <v>500</v>
      </c>
      <c r="I75" s="94"/>
      <c r="J75" s="99">
        <f t="shared" si="21"/>
        <v>500</v>
      </c>
      <c r="K75" s="16">
        <v>2082</v>
      </c>
      <c r="L75" s="222">
        <v>600</v>
      </c>
      <c r="M75" s="335">
        <f t="shared" si="22"/>
        <v>0.2</v>
      </c>
      <c r="N75" s="329">
        <f t="shared" si="20"/>
        <v>100</v>
      </c>
    </row>
    <row r="76" spans="1:14" s="2" customFormat="1" ht="14.1" customHeight="1">
      <c r="A76" s="28">
        <v>35</v>
      </c>
      <c r="B76" s="29"/>
      <c r="C76" s="30" t="s">
        <v>137</v>
      </c>
      <c r="D76" s="44">
        <v>7267378</v>
      </c>
      <c r="E76" s="31">
        <v>8237881</v>
      </c>
      <c r="F76" s="31">
        <f t="shared" ref="F76" si="23">+F77+F93+F96</f>
        <v>9067209</v>
      </c>
      <c r="G76" s="36">
        <f>+G77+G93+G96</f>
        <v>37028.399999999994</v>
      </c>
      <c r="H76" s="31">
        <f>+H77+H93+H96</f>
        <v>9104237.4000000004</v>
      </c>
      <c r="I76" s="36">
        <f>+I77+I93+I96</f>
        <v>42509</v>
      </c>
      <c r="J76" s="31">
        <f>+J77+J93+J96</f>
        <v>9146746.4000000004</v>
      </c>
      <c r="K76" s="31">
        <f>+K77+K93+K96</f>
        <v>7192593.4000000004</v>
      </c>
      <c r="L76" s="31">
        <f t="shared" ref="L76" si="24">+L77+L93+L96</f>
        <v>9203000</v>
      </c>
      <c r="M76" s="335">
        <f t="shared" si="22"/>
        <v>6.15012131526896E-3</v>
      </c>
      <c r="N76" s="329">
        <f t="shared" si="20"/>
        <v>56253.599999999627</v>
      </c>
    </row>
    <row r="77" spans="1:14" s="2" customFormat="1" ht="14.1" customHeight="1">
      <c r="A77" s="37">
        <v>3500</v>
      </c>
      <c r="B77" s="38">
        <v>350</v>
      </c>
      <c r="C77" s="39" t="s">
        <v>138</v>
      </c>
      <c r="D77" s="99">
        <v>111643</v>
      </c>
      <c r="E77" s="99">
        <v>429574</v>
      </c>
      <c r="F77" s="222">
        <f t="shared" ref="F77:G77" si="25">SUM(F78:F92)</f>
        <v>143038</v>
      </c>
      <c r="G77" s="94">
        <f t="shared" si="25"/>
        <v>733</v>
      </c>
      <c r="H77" s="99">
        <f>SUM(H78:H92)</f>
        <v>143771</v>
      </c>
      <c r="I77" s="94">
        <f t="shared" ref="I77" si="26">SUM(I78:I92)</f>
        <v>48239</v>
      </c>
      <c r="J77" s="99">
        <f>SUM(J78:J92)</f>
        <v>192010</v>
      </c>
      <c r="K77" s="99">
        <f>SUM(K78:K92)</f>
        <v>165456</v>
      </c>
      <c r="L77" s="222">
        <f t="shared" ref="L77" si="27">SUM(L78:L92)</f>
        <v>103000</v>
      </c>
      <c r="M77" s="335">
        <f t="shared" si="22"/>
        <v>-0.46356960574970052</v>
      </c>
      <c r="N77" s="329">
        <f t="shared" si="20"/>
        <v>-89010</v>
      </c>
    </row>
    <row r="78" spans="1:14" s="2" customFormat="1" ht="14.1" customHeight="1">
      <c r="A78" s="32" t="s">
        <v>139</v>
      </c>
      <c r="B78" s="38"/>
      <c r="C78" s="34" t="s">
        <v>140</v>
      </c>
      <c r="D78" s="52">
        <v>26641</v>
      </c>
      <c r="E78" s="95">
        <v>15339</v>
      </c>
      <c r="F78" s="236"/>
      <c r="G78" s="155"/>
      <c r="H78" s="95">
        <f t="shared" ref="H78:H92" si="28">+G78+F78</f>
        <v>0</v>
      </c>
      <c r="I78" s="155">
        <v>5000</v>
      </c>
      <c r="J78" s="95">
        <f t="shared" ref="J78:J92" si="29">+I78+H78</f>
        <v>5000</v>
      </c>
      <c r="K78" s="20">
        <v>26198</v>
      </c>
      <c r="L78" s="236"/>
      <c r="M78" s="335">
        <f t="shared" si="22"/>
        <v>-1</v>
      </c>
      <c r="N78" s="329">
        <f t="shared" si="20"/>
        <v>-5000</v>
      </c>
    </row>
    <row r="79" spans="1:14" s="2" customFormat="1" ht="14.1" customHeight="1">
      <c r="A79" s="32" t="s">
        <v>141</v>
      </c>
      <c r="B79" s="38"/>
      <c r="C79" s="34" t="s">
        <v>142</v>
      </c>
      <c r="D79" s="52">
        <v>0</v>
      </c>
      <c r="E79" s="95">
        <v>12379</v>
      </c>
      <c r="F79" s="236"/>
      <c r="G79" s="155"/>
      <c r="H79" s="95">
        <f t="shared" si="28"/>
        <v>0</v>
      </c>
      <c r="I79" s="155">
        <v>5000</v>
      </c>
      <c r="J79" s="95">
        <f t="shared" si="29"/>
        <v>5000</v>
      </c>
      <c r="K79" s="20"/>
      <c r="L79" s="236"/>
      <c r="M79" s="335">
        <f t="shared" si="22"/>
        <v>-1</v>
      </c>
      <c r="N79" s="329">
        <f t="shared" si="20"/>
        <v>-5000</v>
      </c>
    </row>
    <row r="80" spans="1:14" s="2" customFormat="1" ht="14.1" customHeight="1">
      <c r="A80" s="32"/>
      <c r="B80" s="38"/>
      <c r="C80" s="34" t="s">
        <v>143</v>
      </c>
      <c r="D80" s="52">
        <v>4844</v>
      </c>
      <c r="E80" s="95">
        <v>0</v>
      </c>
      <c r="F80" s="236"/>
      <c r="G80" s="155"/>
      <c r="H80" s="95">
        <f t="shared" si="28"/>
        <v>0</v>
      </c>
      <c r="I80" s="155"/>
      <c r="J80" s="95">
        <f t="shared" si="29"/>
        <v>0</v>
      </c>
      <c r="K80" s="20">
        <v>14535</v>
      </c>
      <c r="L80" s="236"/>
      <c r="M80" s="335" t="e">
        <f t="shared" si="22"/>
        <v>#DIV/0!</v>
      </c>
      <c r="N80" s="329">
        <f t="shared" si="20"/>
        <v>0</v>
      </c>
    </row>
    <row r="81" spans="1:14" ht="14.1" customHeight="1">
      <c r="A81" s="32" t="s">
        <v>144</v>
      </c>
      <c r="B81" s="33"/>
      <c r="C81" s="34" t="s">
        <v>145</v>
      </c>
      <c r="D81" s="52">
        <v>9955</v>
      </c>
      <c r="E81" s="95">
        <v>3849</v>
      </c>
      <c r="F81" s="236"/>
      <c r="G81" s="155"/>
      <c r="H81" s="95">
        <f t="shared" si="28"/>
        <v>0</v>
      </c>
      <c r="I81" s="155"/>
      <c r="J81" s="95">
        <f t="shared" si="29"/>
        <v>0</v>
      </c>
      <c r="K81" s="20">
        <v>1445</v>
      </c>
      <c r="L81" s="236"/>
      <c r="M81" s="335" t="e">
        <f t="shared" si="22"/>
        <v>#DIV/0!</v>
      </c>
      <c r="N81" s="329">
        <f t="shared" si="20"/>
        <v>0</v>
      </c>
    </row>
    <row r="82" spans="1:14" ht="14.1" customHeight="1">
      <c r="A82" s="32" t="s">
        <v>146</v>
      </c>
      <c r="B82" s="33"/>
      <c r="C82" s="34" t="s">
        <v>147</v>
      </c>
      <c r="D82" s="52"/>
      <c r="E82" s="95">
        <v>212</v>
      </c>
      <c r="F82" s="236"/>
      <c r="G82" s="155"/>
      <c r="H82" s="95">
        <f t="shared" si="28"/>
        <v>0</v>
      </c>
      <c r="I82" s="155"/>
      <c r="J82" s="95">
        <f t="shared" si="29"/>
        <v>0</v>
      </c>
      <c r="L82" s="236"/>
      <c r="M82" s="335" t="e">
        <f t="shared" si="22"/>
        <v>#DIV/0!</v>
      </c>
      <c r="N82" s="329">
        <f t="shared" si="20"/>
        <v>0</v>
      </c>
    </row>
    <row r="83" spans="1:14" ht="14.1" customHeight="1">
      <c r="A83" s="32" t="s">
        <v>148</v>
      </c>
      <c r="B83" s="33"/>
      <c r="C83" s="34" t="s">
        <v>149</v>
      </c>
      <c r="D83" s="52">
        <v>12344</v>
      </c>
      <c r="E83" s="95">
        <v>14508</v>
      </c>
      <c r="F83" s="236"/>
      <c r="G83" s="155"/>
      <c r="H83" s="95">
        <f t="shared" si="28"/>
        <v>0</v>
      </c>
      <c r="I83" s="155">
        <v>6000</v>
      </c>
      <c r="J83" s="95">
        <f t="shared" si="29"/>
        <v>6000</v>
      </c>
      <c r="K83" s="20">
        <v>10254</v>
      </c>
      <c r="L83" s="236">
        <v>10000</v>
      </c>
      <c r="M83" s="335">
        <f t="shared" si="22"/>
        <v>0.66666666666666663</v>
      </c>
      <c r="N83" s="329">
        <f t="shared" si="20"/>
        <v>4000</v>
      </c>
    </row>
    <row r="84" spans="1:14" ht="14.1" customHeight="1">
      <c r="A84" s="32" t="s">
        <v>150</v>
      </c>
      <c r="B84" s="33"/>
      <c r="C84" s="34" t="s">
        <v>151</v>
      </c>
      <c r="D84" s="52">
        <v>0</v>
      </c>
      <c r="E84" s="95">
        <v>278952</v>
      </c>
      <c r="F84" s="236"/>
      <c r="G84" s="155"/>
      <c r="H84" s="95">
        <f t="shared" si="28"/>
        <v>0</v>
      </c>
      <c r="I84" s="155">
        <v>454</v>
      </c>
      <c r="J84" s="95">
        <f t="shared" si="29"/>
        <v>454</v>
      </c>
      <c r="K84" s="20">
        <v>606</v>
      </c>
      <c r="L84" s="236"/>
      <c r="M84" s="335">
        <f t="shared" si="22"/>
        <v>-1</v>
      </c>
      <c r="N84" s="329">
        <f t="shared" si="20"/>
        <v>-454</v>
      </c>
    </row>
    <row r="85" spans="1:14" ht="14.1" customHeight="1">
      <c r="A85" s="32" t="s">
        <v>150</v>
      </c>
      <c r="B85" s="33"/>
      <c r="C85" s="34" t="s">
        <v>152</v>
      </c>
      <c r="D85" s="52">
        <v>0</v>
      </c>
      <c r="E85" s="95">
        <v>0</v>
      </c>
      <c r="F85" s="236">
        <v>64438</v>
      </c>
      <c r="G85" s="155"/>
      <c r="H85" s="95">
        <f t="shared" si="28"/>
        <v>64438</v>
      </c>
      <c r="I85" s="155"/>
      <c r="J85" s="95">
        <f t="shared" si="29"/>
        <v>64438</v>
      </c>
      <c r="K85" s="20">
        <v>49695</v>
      </c>
      <c r="L85" s="236"/>
      <c r="M85" s="335">
        <f t="shared" si="22"/>
        <v>-1</v>
      </c>
      <c r="N85" s="329">
        <f t="shared" si="20"/>
        <v>-64438</v>
      </c>
    </row>
    <row r="86" spans="1:14" ht="14.1" customHeight="1">
      <c r="A86" s="32"/>
      <c r="B86" s="33"/>
      <c r="C86" s="34" t="s">
        <v>153</v>
      </c>
      <c r="D86" s="52">
        <v>5695</v>
      </c>
      <c r="E86" s="95">
        <v>0</v>
      </c>
      <c r="F86" s="236"/>
      <c r="G86" s="155"/>
      <c r="H86" s="95">
        <f t="shared" si="28"/>
        <v>0</v>
      </c>
      <c r="I86" s="155">
        <v>12000</v>
      </c>
      <c r="J86" s="95">
        <f t="shared" si="29"/>
        <v>12000</v>
      </c>
      <c r="K86" s="20">
        <v>12000</v>
      </c>
      <c r="L86" s="236"/>
      <c r="M86" s="335">
        <f t="shared" si="22"/>
        <v>-1</v>
      </c>
      <c r="N86" s="329">
        <f t="shared" si="20"/>
        <v>-12000</v>
      </c>
    </row>
    <row r="87" spans="1:14" ht="14.1" customHeight="1">
      <c r="A87" s="32" t="s">
        <v>154</v>
      </c>
      <c r="B87" s="33"/>
      <c r="C87" s="34" t="s">
        <v>155</v>
      </c>
      <c r="D87" s="52">
        <v>0</v>
      </c>
      <c r="E87" s="95">
        <v>46163</v>
      </c>
      <c r="F87" s="236"/>
      <c r="G87" s="155"/>
      <c r="H87" s="95">
        <f t="shared" si="28"/>
        <v>0</v>
      </c>
      <c r="I87" s="155">
        <v>13500</v>
      </c>
      <c r="J87" s="95">
        <f t="shared" si="29"/>
        <v>13500</v>
      </c>
      <c r="L87" s="236">
        <v>8000</v>
      </c>
      <c r="M87" s="335">
        <f t="shared" si="22"/>
        <v>-0.40740740740740738</v>
      </c>
      <c r="N87" s="329">
        <f t="shared" si="20"/>
        <v>-5500</v>
      </c>
    </row>
    <row r="88" spans="1:14" ht="14.1" customHeight="1">
      <c r="A88" s="32" t="s">
        <v>156</v>
      </c>
      <c r="B88" s="33"/>
      <c r="C88" s="34" t="s">
        <v>157</v>
      </c>
      <c r="D88" s="52">
        <v>0</v>
      </c>
      <c r="E88" s="95">
        <v>1240</v>
      </c>
      <c r="F88" s="236"/>
      <c r="G88" s="155"/>
      <c r="H88" s="95">
        <f t="shared" si="28"/>
        <v>0</v>
      </c>
      <c r="I88" s="190">
        <v>1285</v>
      </c>
      <c r="J88" s="95">
        <f t="shared" si="29"/>
        <v>1285</v>
      </c>
      <c r="K88" s="20">
        <v>2094</v>
      </c>
      <c r="L88" s="236">
        <v>1400</v>
      </c>
      <c r="M88" s="335">
        <f t="shared" si="22"/>
        <v>8.9494163424124515E-2</v>
      </c>
      <c r="N88" s="329">
        <f t="shared" si="20"/>
        <v>115</v>
      </c>
    </row>
    <row r="89" spans="1:14" ht="14.1" customHeight="1">
      <c r="A89" s="32" t="s">
        <v>158</v>
      </c>
      <c r="B89" s="33"/>
      <c r="C89" s="34" t="s">
        <v>159</v>
      </c>
      <c r="D89" s="52">
        <v>35000</v>
      </c>
      <c r="E89" s="95">
        <v>35000</v>
      </c>
      <c r="F89" s="236">
        <v>56600</v>
      </c>
      <c r="G89" s="155"/>
      <c r="H89" s="95">
        <f t="shared" si="28"/>
        <v>56600</v>
      </c>
      <c r="I89" s="155">
        <v>5000</v>
      </c>
      <c r="J89" s="95">
        <f t="shared" si="29"/>
        <v>61600</v>
      </c>
      <c r="K89" s="20">
        <v>47957</v>
      </c>
      <c r="L89" s="236">
        <v>61600</v>
      </c>
      <c r="M89" s="335">
        <f t="shared" si="22"/>
        <v>0</v>
      </c>
      <c r="N89" s="329">
        <f t="shared" si="20"/>
        <v>0</v>
      </c>
    </row>
    <row r="90" spans="1:14" ht="14.1" customHeight="1">
      <c r="A90" s="32" t="s">
        <v>160</v>
      </c>
      <c r="B90" s="33"/>
      <c r="C90" s="34" t="s">
        <v>161</v>
      </c>
      <c r="D90" s="52">
        <v>17164</v>
      </c>
      <c r="E90" s="95">
        <v>0</v>
      </c>
      <c r="F90" s="236">
        <v>22000</v>
      </c>
      <c r="G90" s="249">
        <v>733</v>
      </c>
      <c r="H90" s="95">
        <f t="shared" si="28"/>
        <v>22733</v>
      </c>
      <c r="I90" s="155"/>
      <c r="J90" s="95">
        <f t="shared" si="29"/>
        <v>22733</v>
      </c>
      <c r="K90" s="20">
        <v>0</v>
      </c>
      <c r="L90" s="236">
        <v>22000</v>
      </c>
      <c r="M90" s="335">
        <f t="shared" si="22"/>
        <v>-3.2243874543615006E-2</v>
      </c>
      <c r="N90" s="329">
        <f t="shared" si="20"/>
        <v>-733</v>
      </c>
    </row>
    <row r="91" spans="1:14" ht="14.1" customHeight="1">
      <c r="A91" s="32" t="s">
        <v>162</v>
      </c>
      <c r="B91" s="33"/>
      <c r="C91" s="34" t="s">
        <v>163</v>
      </c>
      <c r="D91" s="52">
        <v>0</v>
      </c>
      <c r="E91" s="95">
        <v>21000</v>
      </c>
      <c r="F91" s="236"/>
      <c r="G91" s="155"/>
      <c r="H91" s="95">
        <f t="shared" si="28"/>
        <v>0</v>
      </c>
      <c r="I91" s="155"/>
      <c r="J91" s="95">
        <f t="shared" si="29"/>
        <v>0</v>
      </c>
      <c r="K91" s="20">
        <v>672</v>
      </c>
      <c r="L91" s="236"/>
      <c r="M91" s="335" t="e">
        <f t="shared" si="22"/>
        <v>#DIV/0!</v>
      </c>
      <c r="N91" s="329">
        <f t="shared" si="20"/>
        <v>0</v>
      </c>
    </row>
    <row r="92" spans="1:14" ht="14.1" customHeight="1">
      <c r="A92" s="32" t="s">
        <v>164</v>
      </c>
      <c r="B92" s="33"/>
      <c r="C92" s="43" t="s">
        <v>165</v>
      </c>
      <c r="D92" s="52">
        <v>0</v>
      </c>
      <c r="E92" s="95">
        <v>932</v>
      </c>
      <c r="F92" s="236"/>
      <c r="G92" s="155"/>
      <c r="H92" s="95">
        <f t="shared" si="28"/>
        <v>0</v>
      </c>
      <c r="I92" s="155"/>
      <c r="J92" s="95">
        <f t="shared" si="29"/>
        <v>0</v>
      </c>
      <c r="L92" s="236"/>
      <c r="M92" s="335" t="e">
        <f t="shared" si="22"/>
        <v>#DIV/0!</v>
      </c>
      <c r="N92" s="329">
        <f t="shared" si="20"/>
        <v>0</v>
      </c>
    </row>
    <row r="93" spans="1:14" s="2" customFormat="1" ht="14.1" customHeight="1">
      <c r="A93" s="28" t="s">
        <v>166</v>
      </c>
      <c r="B93" s="68"/>
      <c r="C93" s="30" t="s">
        <v>167</v>
      </c>
      <c r="D93" s="36">
        <v>6842155</v>
      </c>
      <c r="E93" s="31">
        <v>7432352</v>
      </c>
      <c r="F93" s="31">
        <f t="shared" ref="F93:J93" si="30">SUM(F94:F95)</f>
        <v>8562171</v>
      </c>
      <c r="G93" s="36">
        <f t="shared" si="30"/>
        <v>-47344</v>
      </c>
      <c r="H93" s="31">
        <f t="shared" si="30"/>
        <v>8514827</v>
      </c>
      <c r="I93" s="36">
        <f t="shared" si="30"/>
        <v>-5730</v>
      </c>
      <c r="J93" s="31">
        <f t="shared" si="30"/>
        <v>8509097</v>
      </c>
      <c r="K93" s="31">
        <f>SUM(K94:K95)</f>
        <v>6844504</v>
      </c>
      <c r="L93" s="31">
        <f t="shared" ref="L93" si="31">SUM(L94:L95)</f>
        <v>8800000</v>
      </c>
      <c r="M93" s="335">
        <f t="shared" si="22"/>
        <v>3.4187293904394324E-2</v>
      </c>
      <c r="N93" s="329">
        <f t="shared" si="20"/>
        <v>290903</v>
      </c>
    </row>
    <row r="94" spans="1:14" s="2" customFormat="1" ht="14.1" customHeight="1">
      <c r="A94" s="32">
        <v>35200</v>
      </c>
      <c r="B94" s="33">
        <v>35200</v>
      </c>
      <c r="C94" s="34" t="s">
        <v>168</v>
      </c>
      <c r="D94" s="52">
        <v>2342368</v>
      </c>
      <c r="E94" s="95">
        <v>2571012</v>
      </c>
      <c r="F94" s="236">
        <f>2571012+200000</f>
        <v>2771012</v>
      </c>
      <c r="G94" s="249">
        <v>-272926</v>
      </c>
      <c r="H94" s="95">
        <f t="shared" ref="H94:H95" si="32">+G94+F94</f>
        <v>2498086</v>
      </c>
      <c r="I94" s="155">
        <v>4911</v>
      </c>
      <c r="J94" s="95">
        <f t="shared" ref="J94:J95" si="33">+I94+H94</f>
        <v>2502997</v>
      </c>
      <c r="K94" s="20">
        <v>2003709</v>
      </c>
      <c r="L94" s="236">
        <v>2300000</v>
      </c>
      <c r="M94" s="335">
        <f t="shared" si="22"/>
        <v>-8.1101575431372877E-2</v>
      </c>
      <c r="N94" s="329">
        <f t="shared" si="20"/>
        <v>-202997</v>
      </c>
    </row>
    <row r="95" spans="1:14" ht="12" customHeight="1">
      <c r="A95" s="32">
        <v>35201</v>
      </c>
      <c r="B95" s="33">
        <v>35201</v>
      </c>
      <c r="C95" s="34" t="s">
        <v>169</v>
      </c>
      <c r="D95" s="52">
        <v>4499787</v>
      </c>
      <c r="E95" s="95">
        <v>4861340</v>
      </c>
      <c r="F95" s="236">
        <f>4697216+993943+100000</f>
        <v>5791159</v>
      </c>
      <c r="G95" s="249">
        <v>225582</v>
      </c>
      <c r="H95" s="95">
        <f t="shared" si="32"/>
        <v>6016741</v>
      </c>
      <c r="I95" s="155">
        <v>-10641</v>
      </c>
      <c r="J95" s="95">
        <f t="shared" si="33"/>
        <v>6006100</v>
      </c>
      <c r="K95" s="20">
        <v>4840795</v>
      </c>
      <c r="L95" s="236">
        <v>6500000</v>
      </c>
      <c r="M95" s="335">
        <f t="shared" si="22"/>
        <v>8.2233063052563227E-2</v>
      </c>
      <c r="N95" s="329">
        <f t="shared" si="20"/>
        <v>493900</v>
      </c>
    </row>
    <row r="96" spans="1:14" ht="14.1" customHeight="1">
      <c r="A96" s="37" t="s">
        <v>170</v>
      </c>
      <c r="B96" s="38">
        <v>3521</v>
      </c>
      <c r="C96" s="39" t="s">
        <v>171</v>
      </c>
      <c r="D96" s="51">
        <v>313580</v>
      </c>
      <c r="E96" s="99">
        <v>375955</v>
      </c>
      <c r="F96" s="236">
        <f>350000+12000</f>
        <v>362000</v>
      </c>
      <c r="G96" s="258">
        <f>60000+23639.4</f>
        <v>83639.399999999994</v>
      </c>
      <c r="H96" s="263">
        <f>+G96+F96</f>
        <v>445639.4</v>
      </c>
      <c r="I96" s="155"/>
      <c r="J96" s="263">
        <f>+I96+H96</f>
        <v>445639.4</v>
      </c>
      <c r="K96" s="268">
        <v>182633.4</v>
      </c>
      <c r="L96" s="236">
        <v>300000</v>
      </c>
      <c r="M96" s="335">
        <f t="shared" si="22"/>
        <v>-0.32680997236779336</v>
      </c>
      <c r="N96" s="329">
        <f t="shared" si="20"/>
        <v>-145639.40000000002</v>
      </c>
    </row>
    <row r="97" spans="1:82" s="2" customFormat="1" ht="14.1" customHeight="1">
      <c r="A97" s="28" t="s">
        <v>172</v>
      </c>
      <c r="B97" s="29">
        <v>38</v>
      </c>
      <c r="C97" s="30" t="s">
        <v>173</v>
      </c>
      <c r="D97" s="44">
        <v>186500</v>
      </c>
      <c r="E97" s="31">
        <v>230000</v>
      </c>
      <c r="F97" s="31">
        <f t="shared" ref="F97" si="34">SUM(F98:F104)</f>
        <v>260000</v>
      </c>
      <c r="G97" s="36">
        <f t="shared" ref="G97:H97" si="35">SUM(G98:G104)</f>
        <v>0</v>
      </c>
      <c r="H97" s="31">
        <f t="shared" si="35"/>
        <v>260000</v>
      </c>
      <c r="I97" s="36">
        <f t="shared" ref="I97:L97" si="36">SUM(I98:I104)</f>
        <v>1584</v>
      </c>
      <c r="J97" s="31">
        <f t="shared" si="36"/>
        <v>261584</v>
      </c>
      <c r="K97" s="31">
        <f t="shared" si="36"/>
        <v>166505</v>
      </c>
      <c r="L97" s="31">
        <f t="shared" si="36"/>
        <v>215000</v>
      </c>
      <c r="M97" s="335">
        <f t="shared" si="22"/>
        <v>-0.1780842865007034</v>
      </c>
      <c r="N97" s="329">
        <f t="shared" si="20"/>
        <v>-46584</v>
      </c>
    </row>
    <row r="98" spans="1:82" s="8" customFormat="1" ht="14.1" customHeight="1">
      <c r="A98" s="32" t="s">
        <v>174</v>
      </c>
      <c r="B98" s="33">
        <v>38250</v>
      </c>
      <c r="C98" s="34" t="s">
        <v>175</v>
      </c>
      <c r="D98" s="52">
        <v>95000</v>
      </c>
      <c r="E98" s="95">
        <v>125000</v>
      </c>
      <c r="F98" s="236">
        <v>125000</v>
      </c>
      <c r="G98" s="155"/>
      <c r="H98" s="95">
        <f t="shared" ref="H98:H104" si="37">+G98+F98</f>
        <v>125000</v>
      </c>
      <c r="I98" s="155"/>
      <c r="J98" s="95">
        <f t="shared" ref="J98:J104" si="38">+I98+H98</f>
        <v>125000</v>
      </c>
      <c r="K98" s="20">
        <v>140802</v>
      </c>
      <c r="L98" s="236">
        <v>120000</v>
      </c>
      <c r="M98" s="335">
        <f t="shared" si="22"/>
        <v>-0.04</v>
      </c>
      <c r="N98" s="329">
        <f t="shared" si="20"/>
        <v>-5000</v>
      </c>
    </row>
    <row r="99" spans="1:82" s="2" customFormat="1" ht="14.1" customHeight="1">
      <c r="A99" s="32" t="s">
        <v>176</v>
      </c>
      <c r="B99" s="33">
        <v>38251</v>
      </c>
      <c r="C99" s="34" t="s">
        <v>177</v>
      </c>
      <c r="D99" s="52">
        <v>75000</v>
      </c>
      <c r="E99" s="95">
        <v>90000</v>
      </c>
      <c r="F99" s="236">
        <v>90000</v>
      </c>
      <c r="G99" s="155"/>
      <c r="H99" s="95">
        <f t="shared" si="37"/>
        <v>90000</v>
      </c>
      <c r="I99" s="155"/>
      <c r="J99" s="95">
        <f t="shared" si="38"/>
        <v>90000</v>
      </c>
      <c r="K99" s="20"/>
      <c r="L99" s="236">
        <v>50000</v>
      </c>
      <c r="M99" s="335">
        <f t="shared" si="22"/>
        <v>-0.44444444444444442</v>
      </c>
      <c r="N99" s="329">
        <f t="shared" si="20"/>
        <v>-40000</v>
      </c>
    </row>
    <row r="100" spans="1:82" ht="14.1" customHeight="1">
      <c r="A100" s="32" t="s">
        <v>178</v>
      </c>
      <c r="B100" s="33">
        <v>38254</v>
      </c>
      <c r="C100" s="34" t="s">
        <v>179</v>
      </c>
      <c r="D100" s="52">
        <v>0</v>
      </c>
      <c r="E100" s="95">
        <v>0</v>
      </c>
      <c r="F100" s="236"/>
      <c r="G100" s="155"/>
      <c r="H100" s="95">
        <f t="shared" si="37"/>
        <v>0</v>
      </c>
      <c r="I100" s="155"/>
      <c r="J100" s="95">
        <f t="shared" si="38"/>
        <v>0</v>
      </c>
      <c r="L100" s="236"/>
      <c r="M100" s="335" t="e">
        <f t="shared" si="22"/>
        <v>#DIV/0!</v>
      </c>
      <c r="N100" s="329">
        <f t="shared" si="20"/>
        <v>0</v>
      </c>
    </row>
    <row r="101" spans="1:82" ht="14.1" customHeight="1">
      <c r="A101" s="32" t="s">
        <v>180</v>
      </c>
      <c r="B101" s="33">
        <v>38254</v>
      </c>
      <c r="C101" s="34" t="s">
        <v>181</v>
      </c>
      <c r="D101" s="52">
        <v>14500</v>
      </c>
      <c r="E101" s="95">
        <v>15000</v>
      </c>
      <c r="F101" s="236">
        <v>45000</v>
      </c>
      <c r="G101" s="155"/>
      <c r="H101" s="95">
        <f t="shared" si="37"/>
        <v>45000</v>
      </c>
      <c r="I101" s="155"/>
      <c r="J101" s="95">
        <f t="shared" si="38"/>
        <v>45000</v>
      </c>
      <c r="K101" s="20">
        <v>23379</v>
      </c>
      <c r="L101" s="236">
        <v>45000</v>
      </c>
      <c r="M101" s="335">
        <f t="shared" si="22"/>
        <v>0</v>
      </c>
      <c r="N101" s="329">
        <f t="shared" si="20"/>
        <v>0</v>
      </c>
    </row>
    <row r="102" spans="1:82" ht="14.1" customHeight="1">
      <c r="A102" s="32" t="s">
        <v>182</v>
      </c>
      <c r="B102" s="33">
        <v>38256</v>
      </c>
      <c r="C102" s="34" t="s">
        <v>183</v>
      </c>
      <c r="D102" s="52">
        <v>0</v>
      </c>
      <c r="E102" s="95">
        <v>0</v>
      </c>
      <c r="F102" s="236">
        <v>0</v>
      </c>
      <c r="G102" s="155"/>
      <c r="H102" s="95">
        <f t="shared" si="37"/>
        <v>0</v>
      </c>
      <c r="I102" s="155"/>
      <c r="J102" s="95">
        <f t="shared" si="38"/>
        <v>0</v>
      </c>
      <c r="L102" s="236">
        <v>0</v>
      </c>
      <c r="M102" s="335" t="e">
        <f t="shared" si="22"/>
        <v>#DIV/0!</v>
      </c>
      <c r="N102" s="329">
        <f t="shared" si="20"/>
        <v>0</v>
      </c>
    </row>
    <row r="103" spans="1:82" ht="13.5" customHeight="1">
      <c r="A103" s="32" t="s">
        <v>184</v>
      </c>
      <c r="B103" s="33"/>
      <c r="C103" s="34" t="s">
        <v>185</v>
      </c>
      <c r="D103" s="52">
        <v>2000</v>
      </c>
      <c r="E103" s="95">
        <v>0</v>
      </c>
      <c r="F103" s="236"/>
      <c r="G103" s="155"/>
      <c r="H103" s="95">
        <f t="shared" si="37"/>
        <v>0</v>
      </c>
      <c r="I103" s="155"/>
      <c r="J103" s="95">
        <f t="shared" si="38"/>
        <v>0</v>
      </c>
      <c r="L103" s="236"/>
      <c r="M103" s="335" t="e">
        <f t="shared" si="22"/>
        <v>#DIV/0!</v>
      </c>
      <c r="N103" s="329">
        <f t="shared" si="20"/>
        <v>0</v>
      </c>
    </row>
    <row r="104" spans="1:82" ht="14.1" customHeight="1">
      <c r="A104" s="32" t="s">
        <v>186</v>
      </c>
      <c r="B104" s="33">
        <v>3888</v>
      </c>
      <c r="C104" s="34" t="s">
        <v>187</v>
      </c>
      <c r="D104" s="52">
        <v>0</v>
      </c>
      <c r="E104" s="95">
        <v>0</v>
      </c>
      <c r="F104" s="236">
        <v>0</v>
      </c>
      <c r="G104" s="155"/>
      <c r="H104" s="95">
        <f t="shared" si="37"/>
        <v>0</v>
      </c>
      <c r="I104" s="155">
        <v>1584</v>
      </c>
      <c r="J104" s="95">
        <f t="shared" si="38"/>
        <v>1584</v>
      </c>
      <c r="K104" s="20">
        <v>2324</v>
      </c>
      <c r="L104" s="236">
        <v>0</v>
      </c>
      <c r="M104" s="335">
        <f t="shared" si="22"/>
        <v>-1</v>
      </c>
      <c r="N104" s="329">
        <f t="shared" si="20"/>
        <v>-1584</v>
      </c>
    </row>
    <row r="105" spans="1:82" s="2" customFormat="1" ht="14.1" customHeight="1">
      <c r="A105" s="123" t="s">
        <v>188</v>
      </c>
      <c r="B105" s="124"/>
      <c r="C105" s="125" t="s">
        <v>189</v>
      </c>
      <c r="D105" s="44">
        <v>21540831</v>
      </c>
      <c r="E105" s="42">
        <v>24989618.100000001</v>
      </c>
      <c r="F105" s="42">
        <f t="shared" ref="F105:L105" si="39">+F5+F8+F76+F97</f>
        <v>28809109</v>
      </c>
      <c r="G105" s="44">
        <f t="shared" si="39"/>
        <v>56528.399999999994</v>
      </c>
      <c r="H105" s="264">
        <f t="shared" si="39"/>
        <v>28865637.399999999</v>
      </c>
      <c r="I105" s="44">
        <f t="shared" si="39"/>
        <v>43313</v>
      </c>
      <c r="J105" s="264">
        <f t="shared" si="39"/>
        <v>28912646.399999999</v>
      </c>
      <c r="K105" s="264">
        <f t="shared" si="39"/>
        <v>21941497.399999999</v>
      </c>
      <c r="L105" s="42">
        <f t="shared" si="39"/>
        <v>31359700</v>
      </c>
      <c r="M105" s="335">
        <f>(L105-J105)/J105</f>
        <v>8.4636098894081233E-2</v>
      </c>
      <c r="N105" s="342">
        <f t="shared" si="20"/>
        <v>2447053.6000000015</v>
      </c>
    </row>
    <row r="106" spans="1:82" s="98" customFormat="1" ht="12" customHeight="1">
      <c r="A106" s="173"/>
      <c r="B106" s="173"/>
      <c r="C106" s="173"/>
      <c r="D106" s="173"/>
      <c r="E106" s="173"/>
      <c r="F106" s="173"/>
      <c r="G106" s="173"/>
      <c r="H106" s="173"/>
      <c r="I106" s="173"/>
      <c r="J106" s="199">
        <f>J105-E105</f>
        <v>3923028.299999997</v>
      </c>
      <c r="K106" s="173"/>
      <c r="L106" s="199">
        <f>L105-J105</f>
        <v>2447053.6000000015</v>
      </c>
      <c r="M106" s="335">
        <f>(L106-J106)/J106</f>
        <v>-0.37623350818040152</v>
      </c>
      <c r="N106" s="329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</row>
    <row r="107" spans="1:82" s="98" customFormat="1" ht="0.6" customHeight="1">
      <c r="A107" s="173"/>
      <c r="B107" s="173"/>
      <c r="C107" s="173"/>
      <c r="D107" s="173"/>
      <c r="E107" s="173"/>
      <c r="F107" s="173"/>
      <c r="G107" s="173"/>
      <c r="H107" s="173"/>
      <c r="I107" s="173"/>
      <c r="J107" s="173"/>
      <c r="K107" s="313"/>
      <c r="L107" s="312"/>
      <c r="M107" s="335"/>
      <c r="N107" s="329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</row>
    <row r="108" spans="1:82" s="98" customFormat="1" ht="12" hidden="1" customHeight="1">
      <c r="A108" s="173"/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  <c r="L108" s="199"/>
      <c r="M108" s="335"/>
      <c r="N108" s="329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</row>
    <row r="109" spans="1:82" s="98" customFormat="1" ht="14.1" hidden="1" customHeight="1">
      <c r="A109" s="173"/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335"/>
      <c r="N109" s="329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</row>
    <row r="110" spans="1:82" ht="14.1" customHeight="1">
      <c r="A110" s="173"/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335"/>
      <c r="N110" s="329"/>
    </row>
    <row r="111" spans="1:82" ht="13.5" customHeight="1">
      <c r="A111" s="126" t="s">
        <v>190</v>
      </c>
      <c r="B111" s="127"/>
      <c r="C111" s="128" t="s">
        <v>191</v>
      </c>
      <c r="D111" s="112"/>
      <c r="E111" s="62">
        <v>21959131.240000002</v>
      </c>
      <c r="F111" s="62">
        <f t="shared" ref="F111:L111" si="40">F121+F174+F182+F193+F277+F321+F383+F400+F1027+F1548</f>
        <v>25813688</v>
      </c>
      <c r="G111" s="62">
        <f t="shared" si="40"/>
        <v>203187.4</v>
      </c>
      <c r="H111" s="266">
        <f t="shared" si="40"/>
        <v>26013875.399999999</v>
      </c>
      <c r="I111" s="62">
        <f t="shared" si="40"/>
        <v>-1383</v>
      </c>
      <c r="J111" s="266">
        <f t="shared" si="40"/>
        <v>26012492.399999999</v>
      </c>
      <c r="K111" s="62">
        <f t="shared" si="40"/>
        <v>19145212.350000001</v>
      </c>
      <c r="L111" s="62">
        <f t="shared" si="40"/>
        <v>28219200</v>
      </c>
      <c r="M111" s="335">
        <f>(L111-J111)/J111</f>
        <v>8.4832609119762842E-2</v>
      </c>
      <c r="N111" s="330">
        <f t="shared" si="20"/>
        <v>2206707.6000000015</v>
      </c>
    </row>
    <row r="112" spans="1:82" ht="12.95">
      <c r="A112" s="54"/>
      <c r="B112" s="54"/>
      <c r="C112" s="54" t="s">
        <v>192</v>
      </c>
      <c r="D112" s="173"/>
      <c r="E112" s="54">
        <v>21959131.239999998</v>
      </c>
      <c r="F112" s="54">
        <f t="shared" ref="F112:K112" si="41">F114+F115+F113+F116</f>
        <v>25802988</v>
      </c>
      <c r="G112" s="54">
        <f t="shared" si="41"/>
        <v>203187.4</v>
      </c>
      <c r="H112" s="54">
        <f t="shared" si="41"/>
        <v>26013875.399999999</v>
      </c>
      <c r="I112" s="54">
        <f>I114+I115+I113+I116</f>
        <v>-1383</v>
      </c>
      <c r="J112" s="54">
        <f t="shared" si="41"/>
        <v>26012492.399999999</v>
      </c>
      <c r="K112" s="54">
        <f t="shared" si="41"/>
        <v>19145212.350000001</v>
      </c>
      <c r="L112" s="54">
        <f t="shared" ref="L112" si="42">L114+L115+L113+L116</f>
        <v>28219200</v>
      </c>
      <c r="M112" s="335">
        <f t="shared" si="22"/>
        <v>8.4832609119762842E-2</v>
      </c>
      <c r="N112" s="330">
        <f t="shared" si="20"/>
        <v>2206707.6000000015</v>
      </c>
    </row>
    <row r="113" spans="1:14" ht="14.1" customHeight="1">
      <c r="A113" s="141"/>
      <c r="B113" s="141">
        <v>45</v>
      </c>
      <c r="C113" s="141" t="s">
        <v>193</v>
      </c>
      <c r="D113" s="173"/>
      <c r="E113" s="141">
        <v>1274594.72</v>
      </c>
      <c r="F113" s="141">
        <f>F123+F184+F195+F279+F323+F385+F402+F1029+F1550</f>
        <v>1248643</v>
      </c>
      <c r="G113" s="141">
        <f>G123+G184+G195+G279+G323+G385+G402+G1029+G1550</f>
        <v>343302</v>
      </c>
      <c r="H113" s="141">
        <f>H123+H184+H195+H279+H323+H385+H402+H1029+H1550+H139</f>
        <v>1461945</v>
      </c>
      <c r="I113" s="141">
        <f t="shared" ref="I113:L114" si="43">I123+I184+I195+I279+I323+I385+I402+I1029+I1550</f>
        <v>-9130</v>
      </c>
      <c r="J113" s="141">
        <f t="shared" si="43"/>
        <v>1452815</v>
      </c>
      <c r="K113" s="141">
        <f t="shared" si="43"/>
        <v>990240.62</v>
      </c>
      <c r="L113" s="141">
        <f t="shared" si="43"/>
        <v>2040260</v>
      </c>
      <c r="M113" s="335">
        <f t="shared" si="22"/>
        <v>0.4043494870303514</v>
      </c>
      <c r="N113" s="330">
        <f t="shared" si="20"/>
        <v>587445</v>
      </c>
    </row>
    <row r="114" spans="1:14" ht="14.1" customHeight="1">
      <c r="A114" s="143"/>
      <c r="B114" s="143">
        <v>50</v>
      </c>
      <c r="C114" s="143" t="s">
        <v>194</v>
      </c>
      <c r="D114" s="173"/>
      <c r="E114" s="143">
        <v>12104813</v>
      </c>
      <c r="F114" s="143">
        <f>F124+F185+F196+F280+F324+F386+F403+F1030+F1551</f>
        <v>14914348</v>
      </c>
      <c r="G114" s="143">
        <f>G124+G185+G196+G280+G324+G386+G403+G1030+G1551</f>
        <v>140633.4</v>
      </c>
      <c r="H114" s="143">
        <f>H124+H185+H196+H280+H324+H386+H403+H1030+H1551</f>
        <v>15056181.4</v>
      </c>
      <c r="I114" s="143">
        <f t="shared" si="43"/>
        <v>-133324</v>
      </c>
      <c r="J114" s="143">
        <f t="shared" si="43"/>
        <v>14922857.4</v>
      </c>
      <c r="K114" s="143">
        <f t="shared" si="43"/>
        <v>10824459</v>
      </c>
      <c r="L114" s="143">
        <f t="shared" si="43"/>
        <v>15603250</v>
      </c>
      <c r="M114" s="335">
        <f t="shared" si="22"/>
        <v>4.5593989258384232E-2</v>
      </c>
      <c r="N114" s="330">
        <f t="shared" si="20"/>
        <v>680392.59999999963</v>
      </c>
    </row>
    <row r="115" spans="1:14" ht="14.1" customHeight="1">
      <c r="A115" s="137"/>
      <c r="B115" s="137">
        <v>55</v>
      </c>
      <c r="C115" s="137" t="s">
        <v>195</v>
      </c>
      <c r="D115" s="173"/>
      <c r="E115" s="137">
        <v>8576584.5199999996</v>
      </c>
      <c r="F115" s="137">
        <f t="shared" ref="F115:L115" si="44">F125+F181+F186+F197+F281+F325+F387+F404+F1031+F1552</f>
        <v>9638972</v>
      </c>
      <c r="G115" s="137">
        <f t="shared" si="44"/>
        <v>-281748</v>
      </c>
      <c r="H115" s="137">
        <f t="shared" si="44"/>
        <v>9363724</v>
      </c>
      <c r="I115" s="137">
        <f t="shared" si="44"/>
        <v>207136</v>
      </c>
      <c r="J115" s="137">
        <f t="shared" si="44"/>
        <v>9570860</v>
      </c>
      <c r="K115" s="137">
        <f t="shared" si="44"/>
        <v>7327663.7300000004</v>
      </c>
      <c r="L115" s="137">
        <f t="shared" si="44"/>
        <v>10422645</v>
      </c>
      <c r="M115" s="335">
        <f t="shared" si="22"/>
        <v>8.8997749418547545E-2</v>
      </c>
      <c r="N115" s="330">
        <f t="shared" si="20"/>
        <v>851785</v>
      </c>
    </row>
    <row r="116" spans="1:14" ht="14.1" customHeight="1">
      <c r="A116" s="140"/>
      <c r="B116" s="140">
        <v>60</v>
      </c>
      <c r="C116" s="140" t="s">
        <v>196</v>
      </c>
      <c r="D116" s="173"/>
      <c r="E116" s="140">
        <v>3139</v>
      </c>
      <c r="F116" s="140">
        <f t="shared" ref="F116:I116" si="45">F126+F187+F198+F282+F326+F1032+F1553</f>
        <v>1025</v>
      </c>
      <c r="G116" s="140">
        <f t="shared" si="45"/>
        <v>1000</v>
      </c>
      <c r="H116" s="140">
        <f t="shared" si="45"/>
        <v>132025</v>
      </c>
      <c r="I116" s="140">
        <f t="shared" si="45"/>
        <v>-66065</v>
      </c>
      <c r="J116" s="140">
        <f>J126+J187+J198+J282+J326+J1032+J1553+J405</f>
        <v>65960</v>
      </c>
      <c r="K116" s="140">
        <f>K126+K187+K198+K282+K326+K1032+K1553+K405</f>
        <v>2849</v>
      </c>
      <c r="L116" s="140">
        <f>L126+L187+L198+L282+L326+L1032+L1553+L405</f>
        <v>153045</v>
      </c>
      <c r="M116" s="335">
        <f t="shared" si="22"/>
        <v>1.3202698605215282</v>
      </c>
      <c r="N116" s="330">
        <f t="shared" si="20"/>
        <v>87085</v>
      </c>
    </row>
    <row r="117" spans="1:14" ht="14.1" customHeight="1">
      <c r="A117" s="219"/>
      <c r="B117" s="219"/>
      <c r="C117" s="219"/>
      <c r="D117" s="219"/>
      <c r="E117" s="313"/>
      <c r="F117" s="313"/>
      <c r="G117" s="313"/>
      <c r="H117" s="313"/>
      <c r="I117" s="313"/>
      <c r="J117" s="313"/>
      <c r="K117" s="313"/>
      <c r="L117" s="313"/>
      <c r="M117" s="336"/>
      <c r="N117" s="329"/>
    </row>
    <row r="118" spans="1:14" ht="14.1" customHeight="1">
      <c r="A118" s="126"/>
      <c r="B118" s="127"/>
      <c r="C118" s="128" t="s">
        <v>197</v>
      </c>
      <c r="D118" s="112"/>
      <c r="E118" s="31">
        <v>3030486.8600000031</v>
      </c>
      <c r="F118" s="222">
        <f t="shared" ref="F118:H118" si="46">F105-F112</f>
        <v>3006121</v>
      </c>
      <c r="G118" s="31">
        <f t="shared" si="46"/>
        <v>-146659</v>
      </c>
      <c r="H118" s="31">
        <f t="shared" si="46"/>
        <v>2851762</v>
      </c>
      <c r="I118" s="31">
        <f>I105-I112</f>
        <v>44696</v>
      </c>
      <c r="J118" s="31">
        <f t="shared" ref="J118" si="47">J105-J112</f>
        <v>2900154</v>
      </c>
      <c r="K118" s="31">
        <f t="shared" ref="K118" si="48">K105-K112</f>
        <v>2796285.049999997</v>
      </c>
      <c r="L118" s="222">
        <f>L105-L112</f>
        <v>3140500</v>
      </c>
      <c r="M118" s="335">
        <f t="shared" si="22"/>
        <v>8.2873530164260245E-2</v>
      </c>
      <c r="N118" s="329">
        <f>L118-J118</f>
        <v>240346</v>
      </c>
    </row>
    <row r="119" spans="1:14" ht="14.1" customHeight="1">
      <c r="A119" s="24" t="s">
        <v>3</v>
      </c>
      <c r="B119" s="25" t="s">
        <v>198</v>
      </c>
      <c r="C119" s="199"/>
      <c r="D119" s="199"/>
      <c r="E119" s="199"/>
      <c r="F119" s="199"/>
      <c r="G119" s="199"/>
      <c r="H119" s="170">
        <f>H105-H111</f>
        <v>2851762</v>
      </c>
      <c r="I119" s="199"/>
      <c r="J119" s="170">
        <f>J105-J111</f>
        <v>2900154</v>
      </c>
      <c r="K119" s="318"/>
      <c r="L119" s="306">
        <f>L105*10%</f>
        <v>3135970</v>
      </c>
      <c r="M119" s="335">
        <f t="shared" si="22"/>
        <v>8.131154414558675E-2</v>
      </c>
      <c r="N119" s="329">
        <f t="shared" si="20"/>
        <v>235816</v>
      </c>
    </row>
    <row r="120" spans="1:14" ht="14.1" customHeight="1">
      <c r="A120" s="32" t="s">
        <v>4</v>
      </c>
      <c r="B120" s="33" t="s">
        <v>199</v>
      </c>
      <c r="C120" s="199"/>
      <c r="D120" s="199"/>
      <c r="E120" s="199"/>
      <c r="F120" s="199"/>
      <c r="G120" s="199"/>
      <c r="H120" s="199"/>
      <c r="I120" s="199"/>
      <c r="J120" s="199"/>
      <c r="K120" s="199"/>
      <c r="L120" s="311">
        <f>L118/L105</f>
        <v>0.10014445291249598</v>
      </c>
      <c r="M120" s="337" t="s">
        <v>200</v>
      </c>
      <c r="N120" s="329"/>
    </row>
    <row r="121" spans="1:14" ht="14.1" customHeight="1">
      <c r="A121" s="28" t="s">
        <v>201</v>
      </c>
      <c r="B121" s="29"/>
      <c r="C121" s="30" t="s">
        <v>202</v>
      </c>
      <c r="D121" s="44">
        <v>884681</v>
      </c>
      <c r="E121" s="44">
        <v>1020045.72</v>
      </c>
      <c r="F121" s="44">
        <f t="shared" ref="F121" si="49">+F127+F138+F167+F169+F172</f>
        <v>1257369</v>
      </c>
      <c r="G121" s="44">
        <f>+G127+G138+G167+G169+G172</f>
        <v>-29075</v>
      </c>
      <c r="H121" s="44">
        <f>+H127+H138+H167+H169+H172</f>
        <v>1228294</v>
      </c>
      <c r="I121" s="44">
        <f>+I127+I138+I167+I169+I172</f>
        <v>-44173</v>
      </c>
      <c r="J121" s="44">
        <f t="shared" ref="J121:L121" si="50">+J127+J138+J167+J169+J172</f>
        <v>1184121</v>
      </c>
      <c r="K121" s="44">
        <f t="shared" si="50"/>
        <v>890108</v>
      </c>
      <c r="L121" s="44">
        <f t="shared" si="50"/>
        <v>1327100</v>
      </c>
      <c r="M121" s="335">
        <f t="shared" si="22"/>
        <v>0.12074695069169451</v>
      </c>
      <c r="N121" s="330">
        <f t="shared" si="20"/>
        <v>142979</v>
      </c>
    </row>
    <row r="122" spans="1:14" ht="12.6">
      <c r="A122" s="54"/>
      <c r="B122" s="54"/>
      <c r="C122" s="54" t="s">
        <v>203</v>
      </c>
      <c r="D122" s="54"/>
      <c r="E122" s="54">
        <v>1020045.72</v>
      </c>
      <c r="F122" s="54">
        <f t="shared" ref="F122:H122" si="51">F124+F125+F123+F126</f>
        <v>1257369</v>
      </c>
      <c r="G122" s="54">
        <f>G124+G125+G123+G126</f>
        <v>-29075</v>
      </c>
      <c r="H122" s="54">
        <f t="shared" si="51"/>
        <v>1228294</v>
      </c>
      <c r="I122" s="54">
        <f>I124+I125+I123+I126</f>
        <v>-44173</v>
      </c>
      <c r="J122" s="54">
        <f t="shared" ref="J122:L122" si="52">J124+J125+J123+J126</f>
        <v>1184121</v>
      </c>
      <c r="K122" s="54">
        <f t="shared" si="52"/>
        <v>890108</v>
      </c>
      <c r="L122" s="54">
        <f t="shared" si="52"/>
        <v>1327100</v>
      </c>
      <c r="M122" s="335">
        <f t="shared" si="22"/>
        <v>0.12074695069169451</v>
      </c>
      <c r="N122" s="330">
        <f t="shared" si="20"/>
        <v>142979</v>
      </c>
    </row>
    <row r="123" spans="1:14" ht="14.1" customHeight="1">
      <c r="A123" s="141"/>
      <c r="B123" s="141">
        <v>45</v>
      </c>
      <c r="C123" s="141" t="s">
        <v>204</v>
      </c>
      <c r="D123" s="141"/>
      <c r="E123" s="141">
        <v>91405.72</v>
      </c>
      <c r="F123" s="141">
        <f t="shared" ref="F123" si="53">F168+F173</f>
        <v>198843</v>
      </c>
      <c r="G123" s="141">
        <f>G168+G173</f>
        <v>3600</v>
      </c>
      <c r="H123" s="141">
        <f>H173+H139</f>
        <v>72443</v>
      </c>
      <c r="I123" s="141">
        <f>I173+I139</f>
        <v>25892</v>
      </c>
      <c r="J123" s="141">
        <f t="shared" ref="J123:L123" si="54">J173+J139</f>
        <v>98335</v>
      </c>
      <c r="K123" s="141">
        <f t="shared" si="54"/>
        <v>82693</v>
      </c>
      <c r="L123" s="141">
        <f t="shared" si="54"/>
        <v>98300</v>
      </c>
      <c r="M123" s="335">
        <f t="shared" si="22"/>
        <v>-3.5592617074286874E-4</v>
      </c>
      <c r="N123" s="330">
        <f t="shared" si="20"/>
        <v>-35</v>
      </c>
    </row>
    <row r="124" spans="1:14" ht="14.1" customHeight="1">
      <c r="A124" s="143"/>
      <c r="B124" s="143">
        <v>50</v>
      </c>
      <c r="C124" s="143" t="s">
        <v>205</v>
      </c>
      <c r="D124" s="143"/>
      <c r="E124" s="143">
        <v>662840</v>
      </c>
      <c r="F124" s="143">
        <f t="shared" ref="F124:H124" si="55">F128+F140+F170</f>
        <v>777766</v>
      </c>
      <c r="G124" s="143">
        <f t="shared" si="55"/>
        <v>733</v>
      </c>
      <c r="H124" s="143">
        <f t="shared" si="55"/>
        <v>778499</v>
      </c>
      <c r="I124" s="143">
        <f>I128+I140+I170</f>
        <v>14600</v>
      </c>
      <c r="J124" s="143">
        <f t="shared" ref="J124:L124" si="56">J128+J140+J170</f>
        <v>793099</v>
      </c>
      <c r="K124" s="143">
        <f t="shared" si="56"/>
        <v>608385</v>
      </c>
      <c r="L124" s="143">
        <f t="shared" si="56"/>
        <v>794000</v>
      </c>
      <c r="M124" s="335">
        <f t="shared" si="22"/>
        <v>1.1360498500187241E-3</v>
      </c>
      <c r="N124" s="330">
        <f t="shared" si="20"/>
        <v>901</v>
      </c>
    </row>
    <row r="125" spans="1:14" ht="14.1" customHeight="1">
      <c r="A125" s="137"/>
      <c r="B125" s="137">
        <v>55</v>
      </c>
      <c r="C125" s="137" t="s">
        <v>206</v>
      </c>
      <c r="D125" s="137"/>
      <c r="E125" s="137">
        <v>262686</v>
      </c>
      <c r="F125" s="137">
        <f t="shared" ref="F125:H125" si="57">F129+F141+F171</f>
        <v>279760</v>
      </c>
      <c r="G125" s="137">
        <f t="shared" si="57"/>
        <v>-34408</v>
      </c>
      <c r="H125" s="137">
        <f t="shared" si="57"/>
        <v>245352</v>
      </c>
      <c r="I125" s="137">
        <f>I129+I141+I171</f>
        <v>-18600</v>
      </c>
      <c r="J125" s="137">
        <f t="shared" ref="J125:L125" si="58">J129+J141+J171</f>
        <v>226752</v>
      </c>
      <c r="K125" s="137">
        <f t="shared" si="58"/>
        <v>196196</v>
      </c>
      <c r="L125" s="137">
        <f t="shared" si="58"/>
        <v>281800</v>
      </c>
      <c r="M125" s="335">
        <f t="shared" si="22"/>
        <v>0.2427674287327124</v>
      </c>
      <c r="N125" s="330">
        <f t="shared" si="20"/>
        <v>55048</v>
      </c>
    </row>
    <row r="126" spans="1:14" ht="14.1" customHeight="1">
      <c r="A126" s="140"/>
      <c r="B126" s="140">
        <v>60</v>
      </c>
      <c r="C126" s="140" t="s">
        <v>207</v>
      </c>
      <c r="D126" s="140"/>
      <c r="E126" s="140">
        <v>3114</v>
      </c>
      <c r="F126" s="140">
        <f t="shared" ref="F126" si="59">+F166</f>
        <v>1000</v>
      </c>
      <c r="G126" s="140">
        <f>+G166</f>
        <v>1000</v>
      </c>
      <c r="H126" s="140">
        <f>+H166+H168</f>
        <v>132000</v>
      </c>
      <c r="I126" s="140">
        <f t="shared" ref="I126:J126" si="60">+I166+I168</f>
        <v>-66065</v>
      </c>
      <c r="J126" s="140">
        <f t="shared" si="60"/>
        <v>65935</v>
      </c>
      <c r="K126" s="140">
        <f>+K166+K168</f>
        <v>2834</v>
      </c>
      <c r="L126" s="140">
        <f>+L166+L168</f>
        <v>153000</v>
      </c>
      <c r="M126" s="335">
        <f>(L126-J126)/J126</f>
        <v>1.3204671267157049</v>
      </c>
      <c r="N126" s="330">
        <f t="shared" si="20"/>
        <v>87065</v>
      </c>
    </row>
    <row r="127" spans="1:14" ht="14.1" customHeight="1">
      <c r="A127" s="45" t="s">
        <v>208</v>
      </c>
      <c r="B127" s="46"/>
      <c r="C127" s="47" t="s">
        <v>209</v>
      </c>
      <c r="D127" s="53">
        <v>90825</v>
      </c>
      <c r="E127" s="54">
        <v>117000</v>
      </c>
      <c r="F127" s="54">
        <f t="shared" ref="F127:H127" si="61">+F128+F129</f>
        <v>143160</v>
      </c>
      <c r="G127" s="54">
        <f t="shared" si="61"/>
        <v>-5000</v>
      </c>
      <c r="H127" s="54">
        <f t="shared" si="61"/>
        <v>138160</v>
      </c>
      <c r="I127" s="54">
        <f t="shared" ref="I127:J127" si="62">+I128+I129</f>
        <v>-1000</v>
      </c>
      <c r="J127" s="54">
        <f t="shared" si="62"/>
        <v>137160</v>
      </c>
      <c r="K127" s="54">
        <f t="shared" ref="K127:L127" si="63">+K128+K129</f>
        <v>83526</v>
      </c>
      <c r="L127" s="54">
        <f t="shared" si="63"/>
        <v>138500</v>
      </c>
      <c r="M127" s="335">
        <f t="shared" si="22"/>
        <v>9.7696121318168565E-3</v>
      </c>
      <c r="N127" s="329">
        <f t="shared" si="20"/>
        <v>1340</v>
      </c>
    </row>
    <row r="128" spans="1:14" ht="14.1" customHeight="1">
      <c r="A128" s="37"/>
      <c r="B128" s="38" t="s">
        <v>210</v>
      </c>
      <c r="C128" s="39" t="s">
        <v>211</v>
      </c>
      <c r="D128" s="52">
        <v>69025</v>
      </c>
      <c r="E128" s="143">
        <v>110000</v>
      </c>
      <c r="F128" s="143">
        <v>122000</v>
      </c>
      <c r="G128" s="143"/>
      <c r="H128" s="143">
        <f>+F128+G128</f>
        <v>122000</v>
      </c>
      <c r="I128" s="143">
        <v>-1000</v>
      </c>
      <c r="J128" s="143">
        <f>+H128+I128</f>
        <v>121000</v>
      </c>
      <c r="K128" s="143">
        <v>75520</v>
      </c>
      <c r="L128" s="143">
        <v>122000</v>
      </c>
      <c r="M128" s="335">
        <f t="shared" si="22"/>
        <v>8.2644628099173556E-3</v>
      </c>
      <c r="N128" s="329">
        <f t="shared" si="20"/>
        <v>1000</v>
      </c>
    </row>
    <row r="129" spans="1:14" ht="14.1" customHeight="1">
      <c r="A129" s="37"/>
      <c r="B129" s="38" t="s">
        <v>212</v>
      </c>
      <c r="C129" s="39" t="s">
        <v>213</v>
      </c>
      <c r="D129" s="52">
        <v>21800</v>
      </c>
      <c r="E129" s="137">
        <v>7000</v>
      </c>
      <c r="F129" s="137">
        <f>+F130+F131+F132+F133+F135+F137</f>
        <v>21160</v>
      </c>
      <c r="G129" s="137">
        <f t="shared" ref="G129:H129" si="64">+G130+G131+G132+G133+G135+G137</f>
        <v>-5000</v>
      </c>
      <c r="H129" s="137">
        <f t="shared" si="64"/>
        <v>16160</v>
      </c>
      <c r="I129" s="137">
        <f t="shared" ref="I129" si="65">+I130+I131+I132+I133+I135+I137</f>
        <v>0</v>
      </c>
      <c r="J129" s="137">
        <f>+J130+J131+J132+J133+J135+J137+J136</f>
        <v>16160</v>
      </c>
      <c r="K129" s="137">
        <f>+K130+K131+K132+K133+K135+K137+K136</f>
        <v>8006</v>
      </c>
      <c r="L129" s="137">
        <f t="shared" ref="L129" si="66">+L130+L131+L132+L133+L135+L137+L136</f>
        <v>16500</v>
      </c>
      <c r="M129" s="335">
        <f t="shared" si="22"/>
        <v>2.1039603960396041E-2</v>
      </c>
      <c r="N129" s="329">
        <f t="shared" si="20"/>
        <v>340</v>
      </c>
    </row>
    <row r="130" spans="1:14" ht="14.1" customHeight="1">
      <c r="A130" s="37"/>
      <c r="B130" s="33" t="s">
        <v>214</v>
      </c>
      <c r="C130" s="34" t="s">
        <v>215</v>
      </c>
      <c r="D130" s="52">
        <v>18000</v>
      </c>
      <c r="E130" s="17">
        <v>1700</v>
      </c>
      <c r="F130" s="224">
        <v>8000</v>
      </c>
      <c r="G130" s="17">
        <v>-500</v>
      </c>
      <c r="H130" s="17">
        <f t="shared" ref="H130:H137" si="67">+G130+F130</f>
        <v>7500</v>
      </c>
      <c r="I130" s="17">
        <v>-1965</v>
      </c>
      <c r="J130" s="17">
        <f t="shared" ref="J130:J132" si="68">+I130+H130</f>
        <v>5535</v>
      </c>
      <c r="K130" s="17">
        <v>217</v>
      </c>
      <c r="L130" s="226">
        <v>4000</v>
      </c>
      <c r="M130" s="335">
        <f t="shared" si="22"/>
        <v>-0.27732610659439927</v>
      </c>
      <c r="N130" s="329">
        <f t="shared" si="20"/>
        <v>-1535</v>
      </c>
    </row>
    <row r="131" spans="1:14" ht="14.1" customHeight="1">
      <c r="A131" s="37"/>
      <c r="B131" s="33">
        <v>5503</v>
      </c>
      <c r="C131" s="34" t="s">
        <v>216</v>
      </c>
      <c r="D131" s="52">
        <v>0</v>
      </c>
      <c r="E131" s="17">
        <v>0</v>
      </c>
      <c r="F131" s="224">
        <v>8000</v>
      </c>
      <c r="G131" s="17">
        <v>-5000</v>
      </c>
      <c r="H131" s="17">
        <f t="shared" si="67"/>
        <v>3000</v>
      </c>
      <c r="I131" s="17"/>
      <c r="J131" s="17">
        <f t="shared" si="68"/>
        <v>3000</v>
      </c>
      <c r="K131" s="17">
        <v>716</v>
      </c>
      <c r="L131" s="226"/>
      <c r="M131" s="335">
        <f t="shared" si="22"/>
        <v>-1</v>
      </c>
      <c r="N131" s="329">
        <f t="shared" si="20"/>
        <v>-3000</v>
      </c>
    </row>
    <row r="132" spans="1:14" ht="14.1" customHeight="1">
      <c r="A132" s="37"/>
      <c r="B132" s="33" t="s">
        <v>217</v>
      </c>
      <c r="C132" s="34" t="s">
        <v>218</v>
      </c>
      <c r="D132" s="52">
        <v>2800</v>
      </c>
      <c r="E132" s="17">
        <v>3000</v>
      </c>
      <c r="F132" s="224">
        <v>2000</v>
      </c>
      <c r="G132" s="17"/>
      <c r="H132" s="17">
        <f t="shared" si="67"/>
        <v>2000</v>
      </c>
      <c r="I132" s="17"/>
      <c r="J132" s="17">
        <f t="shared" si="68"/>
        <v>2000</v>
      </c>
      <c r="K132" s="17">
        <v>2434</v>
      </c>
      <c r="L132" s="226">
        <v>5000</v>
      </c>
      <c r="M132" s="335">
        <f t="shared" si="22"/>
        <v>1.5</v>
      </c>
      <c r="N132" s="329">
        <f t="shared" si="20"/>
        <v>3000</v>
      </c>
    </row>
    <row r="133" spans="1:14" s="8" customFormat="1" ht="14.1" customHeight="1">
      <c r="A133" s="37"/>
      <c r="B133" s="33">
        <v>5511</v>
      </c>
      <c r="C133" s="34" t="s">
        <v>219</v>
      </c>
      <c r="D133" s="52">
        <v>500</v>
      </c>
      <c r="E133" s="17">
        <v>1300</v>
      </c>
      <c r="F133" s="224">
        <f>F134</f>
        <v>2500</v>
      </c>
      <c r="G133" s="95">
        <f>G134</f>
        <v>500</v>
      </c>
      <c r="H133" s="17">
        <f>+G133+F133</f>
        <v>3000</v>
      </c>
      <c r="I133" s="95">
        <f>I134</f>
        <v>0</v>
      </c>
      <c r="J133" s="17">
        <f>J134</f>
        <v>3000</v>
      </c>
      <c r="K133" s="17">
        <f>K134</f>
        <v>1620</v>
      </c>
      <c r="L133" s="226">
        <f>L134</f>
        <v>3500</v>
      </c>
      <c r="M133" s="335">
        <f t="shared" si="22"/>
        <v>0.16666666666666666</v>
      </c>
      <c r="N133" s="329">
        <f t="shared" si="20"/>
        <v>500</v>
      </c>
    </row>
    <row r="134" spans="1:14" ht="14.1" customHeight="1">
      <c r="A134" s="37"/>
      <c r="B134" s="33"/>
      <c r="C134" s="178" t="s">
        <v>220</v>
      </c>
      <c r="D134" s="183">
        <v>0</v>
      </c>
      <c r="E134" s="182">
        <v>1300</v>
      </c>
      <c r="F134" s="237">
        <v>2500</v>
      </c>
      <c r="G134" s="243">
        <v>500</v>
      </c>
      <c r="H134" s="182">
        <f t="shared" si="67"/>
        <v>3000</v>
      </c>
      <c r="I134" s="182"/>
      <c r="J134" s="182">
        <f t="shared" ref="J134:J137" si="69">+I134+H134</f>
        <v>3000</v>
      </c>
      <c r="K134" s="182">
        <v>1620</v>
      </c>
      <c r="L134" s="227">
        <v>3500</v>
      </c>
      <c r="M134" s="335">
        <f t="shared" si="22"/>
        <v>0.16666666666666666</v>
      </c>
      <c r="N134" s="329">
        <f t="shared" ref="N134:N197" si="70">L134-J134</f>
        <v>500</v>
      </c>
    </row>
    <row r="135" spans="1:14" ht="14.1" customHeight="1">
      <c r="A135" s="37"/>
      <c r="B135" s="33">
        <v>5514</v>
      </c>
      <c r="C135" s="34" t="s">
        <v>221</v>
      </c>
      <c r="D135" s="52">
        <v>500</v>
      </c>
      <c r="E135" s="17">
        <v>600</v>
      </c>
      <c r="F135" s="224">
        <f>55*12</f>
        <v>660</v>
      </c>
      <c r="G135" s="17"/>
      <c r="H135" s="17">
        <f t="shared" si="67"/>
        <v>660</v>
      </c>
      <c r="I135" s="17">
        <v>1550</v>
      </c>
      <c r="J135" s="17">
        <f t="shared" si="69"/>
        <v>2210</v>
      </c>
      <c r="K135" s="17">
        <v>2010</v>
      </c>
      <c r="L135" s="226">
        <v>3000</v>
      </c>
      <c r="M135" s="335">
        <f t="shared" si="22"/>
        <v>0.3574660633484163</v>
      </c>
      <c r="N135" s="329">
        <f t="shared" si="70"/>
        <v>790</v>
      </c>
    </row>
    <row r="136" spans="1:14" ht="14.1" customHeight="1">
      <c r="A136" s="37"/>
      <c r="B136" s="33">
        <v>5515</v>
      </c>
      <c r="C136" s="34" t="s">
        <v>222</v>
      </c>
      <c r="D136" s="52"/>
      <c r="E136" s="17"/>
      <c r="F136" s="224"/>
      <c r="G136" s="17"/>
      <c r="H136" s="17"/>
      <c r="I136" s="17"/>
      <c r="J136" s="17"/>
      <c r="K136" s="17">
        <v>415</v>
      </c>
      <c r="L136" s="226"/>
      <c r="M136" s="335"/>
      <c r="N136" s="329">
        <f t="shared" si="70"/>
        <v>0</v>
      </c>
    </row>
    <row r="137" spans="1:14" ht="14.1" customHeight="1">
      <c r="A137" s="37"/>
      <c r="B137" s="33">
        <v>5540</v>
      </c>
      <c r="C137" s="34" t="s">
        <v>223</v>
      </c>
      <c r="D137" s="52"/>
      <c r="E137" s="17">
        <v>400</v>
      </c>
      <c r="F137" s="224">
        <v>0</v>
      </c>
      <c r="G137" s="17"/>
      <c r="H137" s="17">
        <f t="shared" si="67"/>
        <v>0</v>
      </c>
      <c r="I137" s="17">
        <v>415</v>
      </c>
      <c r="J137" s="17">
        <f t="shared" si="69"/>
        <v>415</v>
      </c>
      <c r="K137" s="17">
        <v>594</v>
      </c>
      <c r="L137" s="226">
        <v>1000</v>
      </c>
      <c r="M137" s="335">
        <f t="shared" si="22"/>
        <v>1.4096385542168675</v>
      </c>
      <c r="N137" s="329">
        <f t="shared" si="70"/>
        <v>585</v>
      </c>
    </row>
    <row r="138" spans="1:14" ht="14.1" customHeight="1">
      <c r="A138" s="45" t="s">
        <v>224</v>
      </c>
      <c r="B138" s="46"/>
      <c r="C138" s="47" t="s">
        <v>225</v>
      </c>
      <c r="D138" s="53">
        <v>682700</v>
      </c>
      <c r="E138" s="50">
        <v>811640</v>
      </c>
      <c r="F138" s="50">
        <f t="shared" ref="F138" si="71">+F140+F141+F166</f>
        <v>893366</v>
      </c>
      <c r="G138" s="54">
        <f t="shared" ref="G138" si="72">+G140+G141+G166</f>
        <v>-28408</v>
      </c>
      <c r="H138" s="50">
        <f>+H140+H141+H166+H139</f>
        <v>864958</v>
      </c>
      <c r="I138" s="50">
        <f>+I140+I141+I166+I139</f>
        <v>15250</v>
      </c>
      <c r="J138" s="50">
        <f>+J140+J141+J166+J139</f>
        <v>880208</v>
      </c>
      <c r="K138" s="50">
        <f>+K140+K141+K166+K139</f>
        <v>718578</v>
      </c>
      <c r="L138" s="54">
        <f t="shared" ref="L138" si="73">+L140+L141+L166</f>
        <v>918300</v>
      </c>
      <c r="M138" s="335">
        <f t="shared" ref="M138:M201" si="74">(L138-J138)/J138</f>
        <v>4.3276134731790671E-2</v>
      </c>
      <c r="N138" s="329">
        <f t="shared" si="70"/>
        <v>38092</v>
      </c>
    </row>
    <row r="139" spans="1:14" ht="14.1" customHeight="1">
      <c r="A139" s="45"/>
      <c r="B139" s="33">
        <v>4</v>
      </c>
      <c r="C139" s="34" t="s">
        <v>226</v>
      </c>
      <c r="D139" s="52">
        <v>0</v>
      </c>
      <c r="E139" s="140">
        <v>0</v>
      </c>
      <c r="F139" s="200"/>
      <c r="G139" s="140"/>
      <c r="H139" s="140"/>
      <c r="I139" s="226">
        <f>4750+12500</f>
        <v>17250</v>
      </c>
      <c r="J139" s="140">
        <f>+I139+H139</f>
        <v>17250</v>
      </c>
      <c r="K139" s="201">
        <v>17250</v>
      </c>
      <c r="L139" s="140">
        <v>0</v>
      </c>
      <c r="M139" s="335">
        <f t="shared" si="74"/>
        <v>-1</v>
      </c>
      <c r="N139" s="329">
        <f t="shared" si="70"/>
        <v>-17250</v>
      </c>
    </row>
    <row r="140" spans="1:14" ht="14.1" customHeight="1">
      <c r="A140" s="37"/>
      <c r="B140" s="38" t="s">
        <v>210</v>
      </c>
      <c r="C140" s="39" t="s">
        <v>211</v>
      </c>
      <c r="D140" s="52">
        <v>477730</v>
      </c>
      <c r="E140" s="143">
        <v>552840</v>
      </c>
      <c r="F140" s="197">
        <v>635766</v>
      </c>
      <c r="G140" s="143"/>
      <c r="H140" s="143">
        <f>+F140+G140</f>
        <v>635766</v>
      </c>
      <c r="I140" s="143">
        <f>14500+1100</f>
        <v>15600</v>
      </c>
      <c r="J140" s="143">
        <f>+H140+I140</f>
        <v>651366</v>
      </c>
      <c r="K140" s="143">
        <v>512088</v>
      </c>
      <c r="L140" s="152">
        <v>650000</v>
      </c>
      <c r="M140" s="335">
        <f t="shared" si="74"/>
        <v>-2.0971312595376487E-3</v>
      </c>
      <c r="N140" s="329">
        <f t="shared" si="70"/>
        <v>-1366</v>
      </c>
    </row>
    <row r="141" spans="1:14" ht="14.1" customHeight="1">
      <c r="A141" s="37"/>
      <c r="B141" s="38" t="s">
        <v>212</v>
      </c>
      <c r="C141" s="39" t="s">
        <v>213</v>
      </c>
      <c r="D141" s="52">
        <v>204970</v>
      </c>
      <c r="E141" s="137">
        <v>255686</v>
      </c>
      <c r="F141" s="138">
        <f>+F142+F144+F145+F146+F158+F159+F160+F161+F163+F164+F165+F143+F162+F157</f>
        <v>256600</v>
      </c>
      <c r="G141" s="137">
        <f t="shared" ref="G141:H141" si="75">+G142+G144+G145+G146+G158+G159+G160+G161+G163+G164+G165+G143+G162+G157</f>
        <v>-29408</v>
      </c>
      <c r="H141" s="137">
        <f t="shared" si="75"/>
        <v>227192</v>
      </c>
      <c r="I141" s="137">
        <f>+I142+I144+I145+I146+I158+I159+I160+I161+I163+I164+I165+I143+I162+I157</f>
        <v>-18600</v>
      </c>
      <c r="J141" s="137">
        <f t="shared" ref="J141" si="76">+J142+J144+J145+J146+J158+J159+J160+J161+J163+J164+J165+J143+J162+J157</f>
        <v>208592</v>
      </c>
      <c r="K141" s="137">
        <f>+K142+K144+K145+K146+K158+K159+K160+K161+K163+K164+K165+K143+K162+K157</f>
        <v>186406</v>
      </c>
      <c r="L141" s="137">
        <f>+L142+L144+L145+L146+L158+L159+L160+L161+L163+L164+L165+L143+L162+L157</f>
        <v>265300</v>
      </c>
      <c r="M141" s="335">
        <f t="shared" si="74"/>
        <v>0.27186085755925443</v>
      </c>
      <c r="N141" s="329">
        <f t="shared" si="70"/>
        <v>56708</v>
      </c>
    </row>
    <row r="142" spans="1:14" ht="12.6" customHeight="1">
      <c r="A142" s="32"/>
      <c r="B142" s="33" t="s">
        <v>214</v>
      </c>
      <c r="C142" s="34" t="s">
        <v>227</v>
      </c>
      <c r="D142" s="52">
        <v>62850</v>
      </c>
      <c r="E142" s="17">
        <v>99054</v>
      </c>
      <c r="F142" s="224">
        <v>80000</v>
      </c>
      <c r="G142" s="17"/>
      <c r="H142" s="17">
        <f>+F142+G142</f>
        <v>80000</v>
      </c>
      <c r="I142" s="17">
        <v>-11500</v>
      </c>
      <c r="J142" s="17">
        <f>+H142+I142</f>
        <v>68500</v>
      </c>
      <c r="K142" s="17">
        <v>45880</v>
      </c>
      <c r="L142" s="226">
        <v>70000</v>
      </c>
      <c r="M142" s="335">
        <f t="shared" si="74"/>
        <v>2.1897810218978103E-2</v>
      </c>
      <c r="N142" s="329">
        <f t="shared" si="70"/>
        <v>1500</v>
      </c>
    </row>
    <row r="143" spans="1:14" ht="0.6" hidden="1" customHeight="1">
      <c r="A143" s="32"/>
      <c r="B143" s="33">
        <v>5502</v>
      </c>
      <c r="C143" s="34" t="s">
        <v>228</v>
      </c>
      <c r="D143" s="52">
        <v>0</v>
      </c>
      <c r="E143" s="17">
        <v>0</v>
      </c>
      <c r="F143" s="224"/>
      <c r="G143" s="17"/>
      <c r="H143" s="17">
        <f t="shared" ref="H143:H144" si="77">+F143+G143</f>
        <v>0</v>
      </c>
      <c r="I143" s="17"/>
      <c r="J143" s="17">
        <f t="shared" ref="J143:J144" si="78">+H143+I143</f>
        <v>0</v>
      </c>
      <c r="K143" s="17"/>
      <c r="L143" s="226"/>
      <c r="M143" s="335" t="e">
        <f t="shared" si="74"/>
        <v>#DIV/0!</v>
      </c>
      <c r="N143" s="329">
        <f t="shared" si="70"/>
        <v>0</v>
      </c>
    </row>
    <row r="144" spans="1:14" ht="14.1" customHeight="1">
      <c r="A144" s="32"/>
      <c r="B144" s="33" t="s">
        <v>229</v>
      </c>
      <c r="C144" s="34" t="s">
        <v>216</v>
      </c>
      <c r="D144" s="52">
        <v>3000</v>
      </c>
      <c r="E144" s="17">
        <v>0</v>
      </c>
      <c r="F144" s="224">
        <v>2000</v>
      </c>
      <c r="G144" s="17"/>
      <c r="H144" s="17">
        <f t="shared" si="77"/>
        <v>2000</v>
      </c>
      <c r="I144" s="17"/>
      <c r="J144" s="17">
        <f t="shared" si="78"/>
        <v>2000</v>
      </c>
      <c r="K144" s="17">
        <v>2771</v>
      </c>
      <c r="L144" s="226"/>
      <c r="M144" s="335">
        <f t="shared" si="74"/>
        <v>-1</v>
      </c>
      <c r="N144" s="329">
        <f t="shared" si="70"/>
        <v>-2000</v>
      </c>
    </row>
    <row r="145" spans="1:14" ht="14.1" customHeight="1">
      <c r="A145" s="32"/>
      <c r="B145" s="33" t="s">
        <v>217</v>
      </c>
      <c r="C145" s="34" t="s">
        <v>230</v>
      </c>
      <c r="D145" s="52">
        <v>6000</v>
      </c>
      <c r="E145" s="17">
        <v>7577</v>
      </c>
      <c r="F145" s="224">
        <v>7000</v>
      </c>
      <c r="G145" s="17">
        <v>-1000</v>
      </c>
      <c r="H145" s="17">
        <f>+F145+G145</f>
        <v>6000</v>
      </c>
      <c r="I145" s="17">
        <v>-500</v>
      </c>
      <c r="J145" s="17">
        <f>+H145+I145</f>
        <v>5500</v>
      </c>
      <c r="K145" s="17">
        <v>2835</v>
      </c>
      <c r="L145" s="226">
        <v>9000</v>
      </c>
      <c r="M145" s="335">
        <f t="shared" si="74"/>
        <v>0.63636363636363635</v>
      </c>
      <c r="N145" s="329">
        <f t="shared" si="70"/>
        <v>3500</v>
      </c>
    </row>
    <row r="146" spans="1:14" ht="14.1" customHeight="1">
      <c r="A146" s="32"/>
      <c r="B146" s="33" t="s">
        <v>231</v>
      </c>
      <c r="C146" s="34" t="s">
        <v>219</v>
      </c>
      <c r="D146" s="52">
        <v>42320</v>
      </c>
      <c r="E146" s="17">
        <v>43000</v>
      </c>
      <c r="F146" s="224">
        <f t="shared" ref="F146" si="79">SUM(F147:F155)</f>
        <v>73200</v>
      </c>
      <c r="G146" s="194">
        <f t="shared" ref="G146:L146" si="80">SUM(G147:G156)</f>
        <v>-24408</v>
      </c>
      <c r="H146" s="17">
        <f t="shared" si="80"/>
        <v>48792</v>
      </c>
      <c r="I146" s="17">
        <f t="shared" si="80"/>
        <v>-1000</v>
      </c>
      <c r="J146" s="17">
        <f t="shared" si="80"/>
        <v>47792</v>
      </c>
      <c r="K146" s="17">
        <f t="shared" si="80"/>
        <v>45019</v>
      </c>
      <c r="L146" s="17">
        <f t="shared" si="80"/>
        <v>52000</v>
      </c>
      <c r="M146" s="335">
        <f t="shared" si="74"/>
        <v>8.8048208905256109E-2</v>
      </c>
      <c r="N146" s="329">
        <f t="shared" si="70"/>
        <v>4208</v>
      </c>
    </row>
    <row r="147" spans="1:14" s="8" customFormat="1" ht="14.1" customHeight="1">
      <c r="A147" s="176"/>
      <c r="B147" s="278" t="s">
        <v>232</v>
      </c>
      <c r="C147" s="178" t="s">
        <v>233</v>
      </c>
      <c r="D147" s="182">
        <v>0</v>
      </c>
      <c r="E147" s="182">
        <v>-7000</v>
      </c>
      <c r="F147" s="237">
        <v>40000</v>
      </c>
      <c r="G147" s="182">
        <v>-25000</v>
      </c>
      <c r="H147" s="182">
        <f t="shared" ref="H147:H156" si="81">+G147+F147</f>
        <v>15000</v>
      </c>
      <c r="I147" s="182">
        <v>-5000</v>
      </c>
      <c r="J147" s="182">
        <f t="shared" ref="J147:J156" si="82">+I147+H147</f>
        <v>10000</v>
      </c>
      <c r="K147" s="182">
        <v>6027</v>
      </c>
      <c r="L147" s="227">
        <v>12000</v>
      </c>
      <c r="M147" s="335">
        <f t="shared" si="74"/>
        <v>0.2</v>
      </c>
      <c r="N147" s="329">
        <f t="shared" si="70"/>
        <v>2000</v>
      </c>
    </row>
    <row r="148" spans="1:14" s="8" customFormat="1" ht="14.1" customHeight="1">
      <c r="A148" s="176"/>
      <c r="B148" s="278" t="s">
        <v>234</v>
      </c>
      <c r="C148" s="178" t="s">
        <v>235</v>
      </c>
      <c r="D148" s="182">
        <v>0</v>
      </c>
      <c r="E148" s="182">
        <v>0</v>
      </c>
      <c r="F148" s="237">
        <v>22000</v>
      </c>
      <c r="G148" s="182">
        <v>-5000</v>
      </c>
      <c r="H148" s="182">
        <f t="shared" si="81"/>
        <v>17000</v>
      </c>
      <c r="I148" s="182"/>
      <c r="J148" s="182">
        <f t="shared" si="82"/>
        <v>17000</v>
      </c>
      <c r="K148" s="182">
        <v>15959</v>
      </c>
      <c r="L148" s="227">
        <v>18000</v>
      </c>
      <c r="M148" s="335">
        <f t="shared" si="74"/>
        <v>5.8823529411764705E-2</v>
      </c>
      <c r="N148" s="329">
        <f t="shared" si="70"/>
        <v>1000</v>
      </c>
    </row>
    <row r="149" spans="1:14" s="8" customFormat="1" ht="14.1" customHeight="1">
      <c r="A149" s="176"/>
      <c r="B149" s="278" t="s">
        <v>236</v>
      </c>
      <c r="C149" s="178" t="s">
        <v>237</v>
      </c>
      <c r="D149" s="182">
        <v>0</v>
      </c>
      <c r="E149" s="182">
        <v>0</v>
      </c>
      <c r="F149" s="237">
        <v>900</v>
      </c>
      <c r="G149" s="182"/>
      <c r="H149" s="182">
        <f t="shared" si="81"/>
        <v>900</v>
      </c>
      <c r="I149" s="182"/>
      <c r="J149" s="182">
        <f t="shared" si="82"/>
        <v>900</v>
      </c>
      <c r="K149" s="182">
        <v>515</v>
      </c>
      <c r="L149" s="227">
        <v>700</v>
      </c>
      <c r="M149" s="335">
        <f t="shared" si="74"/>
        <v>-0.22222222222222221</v>
      </c>
      <c r="N149" s="329">
        <f t="shared" si="70"/>
        <v>-200</v>
      </c>
    </row>
    <row r="150" spans="1:14" s="8" customFormat="1" ht="14.1" customHeight="1">
      <c r="A150" s="176"/>
      <c r="B150" s="278" t="s">
        <v>238</v>
      </c>
      <c r="C150" s="178" t="s">
        <v>239</v>
      </c>
      <c r="D150" s="182">
        <v>0</v>
      </c>
      <c r="E150" s="182">
        <v>0</v>
      </c>
      <c r="F150" s="237">
        <v>3000</v>
      </c>
      <c r="G150" s="182">
        <v>500</v>
      </c>
      <c r="H150" s="182">
        <f t="shared" si="81"/>
        <v>3500</v>
      </c>
      <c r="I150" s="182">
        <v>4200</v>
      </c>
      <c r="J150" s="182">
        <f t="shared" si="82"/>
        <v>7700</v>
      </c>
      <c r="K150" s="182">
        <v>4101</v>
      </c>
      <c r="L150" s="227">
        <v>5800</v>
      </c>
      <c r="M150" s="335">
        <f t="shared" si="74"/>
        <v>-0.24675324675324675</v>
      </c>
      <c r="N150" s="329">
        <f t="shared" si="70"/>
        <v>-1900</v>
      </c>
    </row>
    <row r="151" spans="1:14" s="8" customFormat="1" ht="14.1" customHeight="1">
      <c r="A151" s="176"/>
      <c r="B151" s="278" t="s">
        <v>240</v>
      </c>
      <c r="C151" s="178" t="s">
        <v>241</v>
      </c>
      <c r="D151" s="182">
        <v>0</v>
      </c>
      <c r="E151" s="182">
        <v>0</v>
      </c>
      <c r="F151" s="237">
        <v>1500</v>
      </c>
      <c r="G151" s="182"/>
      <c r="H151" s="182">
        <f t="shared" si="81"/>
        <v>1500</v>
      </c>
      <c r="I151" s="182"/>
      <c r="J151" s="182">
        <f t="shared" si="82"/>
        <v>1500</v>
      </c>
      <c r="K151" s="182">
        <v>3118</v>
      </c>
      <c r="L151" s="227">
        <v>3900</v>
      </c>
      <c r="M151" s="335">
        <f t="shared" si="74"/>
        <v>1.6</v>
      </c>
      <c r="N151" s="329">
        <f t="shared" si="70"/>
        <v>2400</v>
      </c>
    </row>
    <row r="152" spans="1:14" s="8" customFormat="1" ht="14.1" customHeight="1">
      <c r="A152" s="176"/>
      <c r="B152" s="278" t="s">
        <v>242</v>
      </c>
      <c r="C152" s="178" t="s">
        <v>243</v>
      </c>
      <c r="D152" s="182">
        <v>0</v>
      </c>
      <c r="E152" s="182">
        <v>0</v>
      </c>
      <c r="F152" s="237">
        <v>1800</v>
      </c>
      <c r="G152" s="182">
        <v>500</v>
      </c>
      <c r="H152" s="182">
        <f t="shared" si="81"/>
        <v>2300</v>
      </c>
      <c r="I152" s="182"/>
      <c r="J152" s="182">
        <f t="shared" si="82"/>
        <v>2300</v>
      </c>
      <c r="K152" s="182">
        <v>2584</v>
      </c>
      <c r="L152" s="227">
        <v>2500</v>
      </c>
      <c r="M152" s="335">
        <f t="shared" si="74"/>
        <v>8.6956521739130432E-2</v>
      </c>
      <c r="N152" s="329">
        <f t="shared" si="70"/>
        <v>200</v>
      </c>
    </row>
    <row r="153" spans="1:14" s="8" customFormat="1" ht="14.1" customHeight="1">
      <c r="A153" s="176"/>
      <c r="B153" s="278" t="s">
        <v>244</v>
      </c>
      <c r="C153" s="178" t="s">
        <v>245</v>
      </c>
      <c r="D153" s="182">
        <v>20000</v>
      </c>
      <c r="E153" s="182">
        <v>0</v>
      </c>
      <c r="F153" s="237">
        <v>2000</v>
      </c>
      <c r="G153" s="182"/>
      <c r="H153" s="182">
        <f t="shared" si="81"/>
        <v>2000</v>
      </c>
      <c r="I153" s="319"/>
      <c r="J153" s="182">
        <f t="shared" si="82"/>
        <v>2000</v>
      </c>
      <c r="K153" s="182">
        <v>4984</v>
      </c>
      <c r="L153" s="227">
        <v>2000</v>
      </c>
      <c r="M153" s="335">
        <f t="shared" si="74"/>
        <v>0</v>
      </c>
      <c r="N153" s="329">
        <f t="shared" si="70"/>
        <v>0</v>
      </c>
    </row>
    <row r="154" spans="1:14" s="8" customFormat="1" ht="14.1" customHeight="1">
      <c r="A154" s="176"/>
      <c r="B154" s="278" t="s">
        <v>246</v>
      </c>
      <c r="C154" s="178" t="s">
        <v>247</v>
      </c>
      <c r="D154" s="182">
        <v>0</v>
      </c>
      <c r="E154" s="182">
        <v>0</v>
      </c>
      <c r="F154" s="237">
        <v>1000</v>
      </c>
      <c r="G154" s="182"/>
      <c r="H154" s="182">
        <f t="shared" si="81"/>
        <v>1000</v>
      </c>
      <c r="I154" s="182">
        <v>40</v>
      </c>
      <c r="J154" s="182">
        <f t="shared" si="82"/>
        <v>1040</v>
      </c>
      <c r="K154" s="292">
        <v>1033</v>
      </c>
      <c r="L154" s="227">
        <v>1100</v>
      </c>
      <c r="M154" s="335">
        <f t="shared" si="74"/>
        <v>5.7692307692307696E-2</v>
      </c>
      <c r="N154" s="329">
        <f t="shared" si="70"/>
        <v>60</v>
      </c>
    </row>
    <row r="155" spans="1:14" s="8" customFormat="1" ht="14.1" customHeight="1">
      <c r="A155" s="176"/>
      <c r="B155" s="278" t="s">
        <v>248</v>
      </c>
      <c r="C155" s="178" t="s">
        <v>249</v>
      </c>
      <c r="D155" s="179">
        <v>0</v>
      </c>
      <c r="E155" s="182">
        <v>50000</v>
      </c>
      <c r="F155" s="237">
        <v>1000</v>
      </c>
      <c r="G155" s="182"/>
      <c r="H155" s="182">
        <f t="shared" si="81"/>
        <v>1000</v>
      </c>
      <c r="I155" s="182">
        <v>-240</v>
      </c>
      <c r="J155" s="182">
        <f t="shared" si="82"/>
        <v>760</v>
      </c>
      <c r="K155" s="182">
        <v>218</v>
      </c>
      <c r="L155" s="227">
        <v>500</v>
      </c>
      <c r="M155" s="335">
        <f t="shared" si="74"/>
        <v>-0.34210526315789475</v>
      </c>
      <c r="N155" s="329">
        <f t="shared" si="70"/>
        <v>-260</v>
      </c>
    </row>
    <row r="156" spans="1:14" s="8" customFormat="1" ht="14.1" customHeight="1">
      <c r="A156" s="176"/>
      <c r="B156" s="278" t="s">
        <v>250</v>
      </c>
      <c r="C156" s="178" t="s">
        <v>251</v>
      </c>
      <c r="D156" s="179"/>
      <c r="E156" s="182"/>
      <c r="F156" s="227"/>
      <c r="G156" s="243">
        <v>4592</v>
      </c>
      <c r="H156" s="182">
        <f t="shared" si="81"/>
        <v>4592</v>
      </c>
      <c r="I156" s="182"/>
      <c r="J156" s="182">
        <f t="shared" si="82"/>
        <v>4592</v>
      </c>
      <c r="K156" s="292">
        <v>6480</v>
      </c>
      <c r="L156" s="227">
        <v>5500</v>
      </c>
      <c r="M156" s="335">
        <f t="shared" si="74"/>
        <v>0.19773519163763068</v>
      </c>
      <c r="N156" s="329">
        <f t="shared" si="70"/>
        <v>908</v>
      </c>
    </row>
    <row r="157" spans="1:14" ht="14.1" customHeight="1">
      <c r="A157" s="32"/>
      <c r="B157" s="33">
        <v>5512</v>
      </c>
      <c r="C157" s="34" t="s">
        <v>252</v>
      </c>
      <c r="D157" s="52"/>
      <c r="E157" s="17">
        <v>0</v>
      </c>
      <c r="F157" s="224">
        <v>0</v>
      </c>
      <c r="G157" s="17"/>
      <c r="H157" s="17">
        <f t="shared" ref="H157:H165" si="83">+F157+G157</f>
        <v>0</v>
      </c>
      <c r="I157" s="17"/>
      <c r="J157" s="17">
        <f t="shared" ref="J157:J165" si="84">+H157+I157</f>
        <v>0</v>
      </c>
      <c r="K157" s="17"/>
      <c r="L157" s="226">
        <v>0</v>
      </c>
      <c r="M157" s="335" t="e">
        <f t="shared" si="74"/>
        <v>#DIV/0!</v>
      </c>
      <c r="N157" s="329">
        <f t="shared" si="70"/>
        <v>0</v>
      </c>
    </row>
    <row r="158" spans="1:14" ht="14.1" customHeight="1">
      <c r="A158" s="32"/>
      <c r="B158" s="33" t="s">
        <v>253</v>
      </c>
      <c r="C158" s="34" t="s">
        <v>254</v>
      </c>
      <c r="D158" s="52">
        <v>18000</v>
      </c>
      <c r="E158" s="17">
        <v>22000</v>
      </c>
      <c r="F158" s="224">
        <v>20000</v>
      </c>
      <c r="G158" s="17">
        <v>-2000</v>
      </c>
      <c r="H158" s="17">
        <f t="shared" si="83"/>
        <v>18000</v>
      </c>
      <c r="I158" s="17"/>
      <c r="J158" s="17">
        <f t="shared" si="84"/>
        <v>18000</v>
      </c>
      <c r="K158" s="17">
        <v>15854</v>
      </c>
      <c r="L158" s="226">
        <v>20000</v>
      </c>
      <c r="M158" s="335">
        <f t="shared" si="74"/>
        <v>0.1111111111111111</v>
      </c>
      <c r="N158" s="329">
        <f t="shared" si="70"/>
        <v>2000</v>
      </c>
    </row>
    <row r="159" spans="1:14" ht="14.1" customHeight="1">
      <c r="A159" s="32"/>
      <c r="B159" s="33" t="s">
        <v>255</v>
      </c>
      <c r="C159" s="34" t="s">
        <v>221</v>
      </c>
      <c r="D159" s="120">
        <v>45000</v>
      </c>
      <c r="E159" s="17">
        <v>50000</v>
      </c>
      <c r="F159" s="224">
        <v>50000</v>
      </c>
      <c r="G159" s="17"/>
      <c r="H159" s="17">
        <f t="shared" si="83"/>
        <v>50000</v>
      </c>
      <c r="I159" s="17">
        <v>-600</v>
      </c>
      <c r="J159" s="17">
        <f t="shared" si="84"/>
        <v>49400</v>
      </c>
      <c r="K159" s="17">
        <v>49419</v>
      </c>
      <c r="L159" s="226">
        <v>90000</v>
      </c>
      <c r="M159" s="335">
        <f t="shared" si="74"/>
        <v>0.82186234817813764</v>
      </c>
      <c r="N159" s="329">
        <f t="shared" si="70"/>
        <v>40600</v>
      </c>
    </row>
    <row r="160" spans="1:14" ht="14.1" customHeight="1">
      <c r="A160" s="32"/>
      <c r="B160" s="33" t="s">
        <v>256</v>
      </c>
      <c r="C160" s="34" t="s">
        <v>257</v>
      </c>
      <c r="D160" s="120">
        <v>20000</v>
      </c>
      <c r="E160" s="17">
        <v>24700</v>
      </c>
      <c r="F160" s="224">
        <v>20000</v>
      </c>
      <c r="G160" s="17">
        <v>-2000</v>
      </c>
      <c r="H160" s="17">
        <f t="shared" si="83"/>
        <v>18000</v>
      </c>
      <c r="I160" s="285">
        <v>-5000</v>
      </c>
      <c r="J160" s="17">
        <f t="shared" si="84"/>
        <v>13000</v>
      </c>
      <c r="K160" s="17">
        <v>21067</v>
      </c>
      <c r="L160" s="226">
        <v>15000</v>
      </c>
      <c r="M160" s="335">
        <f t="shared" si="74"/>
        <v>0.15384615384615385</v>
      </c>
      <c r="N160" s="329">
        <f t="shared" si="70"/>
        <v>2000</v>
      </c>
    </row>
    <row r="161" spans="1:14" ht="14.1" customHeight="1">
      <c r="A161" s="32"/>
      <c r="B161" s="33" t="s">
        <v>258</v>
      </c>
      <c r="C161" s="34" t="s">
        <v>259</v>
      </c>
      <c r="D161" s="120">
        <v>1500</v>
      </c>
      <c r="E161" s="17">
        <v>1000</v>
      </c>
      <c r="F161" s="224">
        <v>1500</v>
      </c>
      <c r="G161" s="17"/>
      <c r="H161" s="17">
        <f t="shared" si="83"/>
        <v>1500</v>
      </c>
      <c r="I161" s="17"/>
      <c r="J161" s="17">
        <f t="shared" si="84"/>
        <v>1500</v>
      </c>
      <c r="K161" s="17">
        <v>1257</v>
      </c>
      <c r="L161" s="226">
        <f>1500+3300</f>
        <v>4800</v>
      </c>
      <c r="M161" s="335">
        <f t="shared" si="74"/>
        <v>2.2000000000000002</v>
      </c>
      <c r="N161" s="329">
        <f t="shared" si="70"/>
        <v>3300</v>
      </c>
    </row>
    <row r="162" spans="1:14" ht="14.1" customHeight="1">
      <c r="A162" s="32"/>
      <c r="B162" s="33">
        <v>5521</v>
      </c>
      <c r="C162" s="34" t="s">
        <v>260</v>
      </c>
      <c r="D162" s="120"/>
      <c r="E162" s="17">
        <v>1657</v>
      </c>
      <c r="F162" s="224">
        <v>0</v>
      </c>
      <c r="G162" s="17"/>
      <c r="H162" s="17">
        <f t="shared" si="83"/>
        <v>0</v>
      </c>
      <c r="I162" s="17"/>
      <c r="J162" s="17">
        <f t="shared" si="84"/>
        <v>0</v>
      </c>
      <c r="K162" s="17">
        <v>3</v>
      </c>
      <c r="L162" s="226"/>
      <c r="M162" s="335" t="e">
        <f t="shared" si="74"/>
        <v>#DIV/0!</v>
      </c>
      <c r="N162" s="329">
        <f t="shared" si="70"/>
        <v>0</v>
      </c>
    </row>
    <row r="163" spans="1:14" ht="14.1" customHeight="1">
      <c r="A163" s="32"/>
      <c r="B163" s="33" t="s">
        <v>261</v>
      </c>
      <c r="C163" s="34" t="s">
        <v>262</v>
      </c>
      <c r="D163" s="121">
        <v>1000</v>
      </c>
      <c r="E163" s="17">
        <v>6098</v>
      </c>
      <c r="F163" s="224">
        <v>1900</v>
      </c>
      <c r="G163" s="17"/>
      <c r="H163" s="17">
        <f t="shared" si="83"/>
        <v>1900</v>
      </c>
      <c r="I163" s="17">
        <v>500</v>
      </c>
      <c r="J163" s="17">
        <f t="shared" si="84"/>
        <v>2400</v>
      </c>
      <c r="K163" s="17">
        <v>2098</v>
      </c>
      <c r="L163" s="226">
        <v>2000</v>
      </c>
      <c r="M163" s="335">
        <f t="shared" si="74"/>
        <v>-0.16666666666666666</v>
      </c>
      <c r="N163" s="329">
        <f t="shared" si="70"/>
        <v>-400</v>
      </c>
    </row>
    <row r="164" spans="1:14" ht="14.1" customHeight="1">
      <c r="A164" s="32"/>
      <c r="B164" s="33" t="s">
        <v>263</v>
      </c>
      <c r="C164" s="34" t="s">
        <v>264</v>
      </c>
      <c r="D164" s="121">
        <v>300</v>
      </c>
      <c r="E164" s="17">
        <v>0</v>
      </c>
      <c r="F164" s="224">
        <v>0</v>
      </c>
      <c r="G164" s="17"/>
      <c r="H164" s="17">
        <f t="shared" si="83"/>
        <v>0</v>
      </c>
      <c r="I164" s="17"/>
      <c r="J164" s="17">
        <f t="shared" si="84"/>
        <v>0</v>
      </c>
      <c r="K164" s="17">
        <v>0</v>
      </c>
      <c r="L164" s="226">
        <v>1500</v>
      </c>
      <c r="M164" s="335" t="e">
        <f t="shared" si="74"/>
        <v>#DIV/0!</v>
      </c>
      <c r="N164" s="329">
        <f t="shared" si="70"/>
        <v>1500</v>
      </c>
    </row>
    <row r="165" spans="1:14" ht="14.1" customHeight="1">
      <c r="A165" s="32"/>
      <c r="B165" s="33">
        <v>5540</v>
      </c>
      <c r="C165" s="34" t="s">
        <v>265</v>
      </c>
      <c r="D165" s="52">
        <v>0</v>
      </c>
      <c r="E165" s="17">
        <v>600</v>
      </c>
      <c r="F165" s="224">
        <v>1000</v>
      </c>
      <c r="G165" s="17"/>
      <c r="H165" s="17">
        <f t="shared" si="83"/>
        <v>1000</v>
      </c>
      <c r="I165" s="17">
        <v>-500</v>
      </c>
      <c r="J165" s="17">
        <f t="shared" si="84"/>
        <v>500</v>
      </c>
      <c r="K165" s="17">
        <v>203</v>
      </c>
      <c r="L165" s="226">
        <v>1000</v>
      </c>
      <c r="M165" s="335">
        <f t="shared" si="74"/>
        <v>1</v>
      </c>
      <c r="N165" s="329">
        <f t="shared" si="70"/>
        <v>500</v>
      </c>
    </row>
    <row r="166" spans="1:14" ht="14.1" customHeight="1">
      <c r="A166" s="37"/>
      <c r="B166" s="38">
        <v>60</v>
      </c>
      <c r="C166" s="39" t="s">
        <v>266</v>
      </c>
      <c r="D166" s="52">
        <v>5000</v>
      </c>
      <c r="E166" s="140">
        <v>3114</v>
      </c>
      <c r="F166" s="200">
        <v>1000</v>
      </c>
      <c r="G166" s="194">
        <v>1000</v>
      </c>
      <c r="H166" s="140">
        <f t="shared" ref="H166:H168" si="85">+G166+F166</f>
        <v>2000</v>
      </c>
      <c r="I166" s="140">
        <v>1000</v>
      </c>
      <c r="J166" s="140">
        <f t="shared" ref="J166" si="86">+I166+H166</f>
        <v>3000</v>
      </c>
      <c r="K166" s="201">
        <v>2834</v>
      </c>
      <c r="L166" s="140">
        <v>3000</v>
      </c>
      <c r="M166" s="335">
        <f t="shared" si="74"/>
        <v>0</v>
      </c>
      <c r="N166" s="329">
        <f t="shared" si="70"/>
        <v>0</v>
      </c>
    </row>
    <row r="167" spans="1:14" ht="14.1" customHeight="1">
      <c r="A167" s="45" t="s">
        <v>267</v>
      </c>
      <c r="B167" s="46"/>
      <c r="C167" s="47" t="s">
        <v>268</v>
      </c>
      <c r="D167" s="53">
        <v>25556</v>
      </c>
      <c r="E167" s="54">
        <v>24975.72</v>
      </c>
      <c r="F167" s="50">
        <f t="shared" ref="F167:L167" si="87">+F168</f>
        <v>130000</v>
      </c>
      <c r="G167" s="54">
        <f t="shared" si="87"/>
        <v>0</v>
      </c>
      <c r="H167" s="54">
        <f t="shared" si="87"/>
        <v>130000</v>
      </c>
      <c r="I167" s="54">
        <f t="shared" si="87"/>
        <v>-67065</v>
      </c>
      <c r="J167" s="54">
        <f t="shared" si="87"/>
        <v>62935</v>
      </c>
      <c r="K167" s="54">
        <f t="shared" si="87"/>
        <v>0</v>
      </c>
      <c r="L167" s="54">
        <f t="shared" si="87"/>
        <v>150000</v>
      </c>
      <c r="M167" s="335">
        <f t="shared" si="74"/>
        <v>1.3834114562643998</v>
      </c>
      <c r="N167" s="329">
        <f t="shared" si="70"/>
        <v>87065</v>
      </c>
    </row>
    <row r="168" spans="1:14" ht="14.1" customHeight="1">
      <c r="A168" s="32"/>
      <c r="B168" s="33" t="s">
        <v>210</v>
      </c>
      <c r="C168" s="34" t="s">
        <v>269</v>
      </c>
      <c r="D168" s="120">
        <v>25556</v>
      </c>
      <c r="E168" s="140">
        <v>24975.72</v>
      </c>
      <c r="F168" s="200">
        <v>130000</v>
      </c>
      <c r="G168" s="140"/>
      <c r="H168" s="140">
        <f t="shared" si="85"/>
        <v>130000</v>
      </c>
      <c r="I168" s="226">
        <f>-53329-13736</f>
        <v>-67065</v>
      </c>
      <c r="J168" s="140">
        <f t="shared" ref="J168" si="88">+I168+H168</f>
        <v>62935</v>
      </c>
      <c r="K168" s="201"/>
      <c r="L168" s="140">
        <f>20000+130000</f>
        <v>150000</v>
      </c>
      <c r="M168" s="335">
        <f t="shared" si="74"/>
        <v>1.3834114562643998</v>
      </c>
      <c r="N168" s="329">
        <f t="shared" si="70"/>
        <v>87065</v>
      </c>
    </row>
    <row r="169" spans="1:14" ht="14.1" customHeight="1">
      <c r="A169" s="45" t="s">
        <v>270</v>
      </c>
      <c r="B169" s="55">
        <v>1330</v>
      </c>
      <c r="C169" s="47" t="s">
        <v>271</v>
      </c>
      <c r="D169" s="103">
        <v>26400</v>
      </c>
      <c r="E169" s="132">
        <v>0</v>
      </c>
      <c r="F169" s="50">
        <f t="shared" ref="F169:K169" si="89">+F170+F171</f>
        <v>22000</v>
      </c>
      <c r="G169" s="132">
        <f t="shared" si="89"/>
        <v>733</v>
      </c>
      <c r="H169" s="132">
        <f t="shared" si="89"/>
        <v>22733</v>
      </c>
      <c r="I169" s="132">
        <f t="shared" si="89"/>
        <v>0</v>
      </c>
      <c r="J169" s="132">
        <f t="shared" si="89"/>
        <v>22733</v>
      </c>
      <c r="K169" s="132">
        <f t="shared" si="89"/>
        <v>22561</v>
      </c>
      <c r="L169" s="54">
        <f t="shared" ref="L169" si="90">+L170+L171</f>
        <v>22000</v>
      </c>
      <c r="M169" s="335">
        <f t="shared" si="74"/>
        <v>-3.2243874543615006E-2</v>
      </c>
      <c r="N169" s="329">
        <f t="shared" si="70"/>
        <v>-733</v>
      </c>
    </row>
    <row r="170" spans="1:14" ht="14.1" customHeight="1">
      <c r="A170" s="37"/>
      <c r="B170" s="33" t="s">
        <v>210</v>
      </c>
      <c r="C170" s="34" t="s">
        <v>272</v>
      </c>
      <c r="D170" s="52">
        <v>22000</v>
      </c>
      <c r="E170" s="143">
        <v>0</v>
      </c>
      <c r="F170" s="197">
        <v>20000</v>
      </c>
      <c r="G170" s="194">
        <v>733</v>
      </c>
      <c r="H170" s="143">
        <f t="shared" ref="H170:H171" si="91">+F170+G170</f>
        <v>20733</v>
      </c>
      <c r="I170" s="143"/>
      <c r="J170" s="143">
        <f t="shared" ref="J170:J171" si="92">+H170+I170</f>
        <v>20733</v>
      </c>
      <c r="K170" s="143">
        <v>20777</v>
      </c>
      <c r="L170" s="143">
        <v>22000</v>
      </c>
      <c r="M170" s="335">
        <f t="shared" si="74"/>
        <v>6.1110307239666234E-2</v>
      </c>
      <c r="N170" s="329">
        <f t="shared" si="70"/>
        <v>1267</v>
      </c>
    </row>
    <row r="171" spans="1:14" ht="14.1" customHeight="1">
      <c r="A171" s="32"/>
      <c r="B171" s="33">
        <v>55</v>
      </c>
      <c r="C171" s="34" t="s">
        <v>273</v>
      </c>
      <c r="D171" s="52">
        <v>4400</v>
      </c>
      <c r="E171" s="137">
        <v>0</v>
      </c>
      <c r="F171" s="138">
        <v>2000</v>
      </c>
      <c r="G171" s="137"/>
      <c r="H171" s="137">
        <f t="shared" si="91"/>
        <v>2000</v>
      </c>
      <c r="I171" s="137"/>
      <c r="J171" s="137">
        <f t="shared" si="92"/>
        <v>2000</v>
      </c>
      <c r="K171" s="137">
        <v>1784</v>
      </c>
      <c r="L171" s="137"/>
      <c r="M171" s="335">
        <f t="shared" si="74"/>
        <v>-1</v>
      </c>
      <c r="N171" s="329">
        <f t="shared" si="70"/>
        <v>-2000</v>
      </c>
    </row>
    <row r="172" spans="1:14" ht="14.1" customHeight="1">
      <c r="A172" s="56" t="s">
        <v>274</v>
      </c>
      <c r="B172" s="46"/>
      <c r="C172" s="47" t="s">
        <v>275</v>
      </c>
      <c r="D172" s="53">
        <v>59200</v>
      </c>
      <c r="E172" s="54">
        <v>66430</v>
      </c>
      <c r="F172" s="50">
        <f t="shared" ref="F172:L172" si="93">+F173</f>
        <v>68843</v>
      </c>
      <c r="G172" s="54">
        <f t="shared" si="93"/>
        <v>3600</v>
      </c>
      <c r="H172" s="54">
        <f t="shared" si="93"/>
        <v>72443</v>
      </c>
      <c r="I172" s="54">
        <f t="shared" si="93"/>
        <v>8642</v>
      </c>
      <c r="J172" s="54">
        <f t="shared" si="93"/>
        <v>81085</v>
      </c>
      <c r="K172" s="54">
        <f t="shared" si="93"/>
        <v>65443</v>
      </c>
      <c r="L172" s="54">
        <f t="shared" si="93"/>
        <v>98300</v>
      </c>
      <c r="M172" s="335">
        <f t="shared" si="74"/>
        <v>0.2123080717765308</v>
      </c>
      <c r="N172" s="329">
        <f t="shared" si="70"/>
        <v>17215</v>
      </c>
    </row>
    <row r="173" spans="1:14" ht="14.1" customHeight="1">
      <c r="A173" s="32"/>
      <c r="B173" s="33">
        <v>452</v>
      </c>
      <c r="C173" s="34" t="s">
        <v>276</v>
      </c>
      <c r="D173" s="113">
        <v>59200</v>
      </c>
      <c r="E173" s="140">
        <v>66430</v>
      </c>
      <c r="F173" s="200">
        <f>26600+10000+25530+5700+903+110</f>
        <v>68843</v>
      </c>
      <c r="G173" s="194">
        <v>3600</v>
      </c>
      <c r="H173" s="140">
        <f t="shared" ref="H173" si="94">+G173+F173</f>
        <v>72443</v>
      </c>
      <c r="I173" s="140">
        <v>8642</v>
      </c>
      <c r="J173" s="140">
        <f t="shared" ref="J173" si="95">+I173+H173</f>
        <v>81085</v>
      </c>
      <c r="K173" s="201">
        <v>65443</v>
      </c>
      <c r="L173" s="140">
        <f>15220+83080</f>
        <v>98300</v>
      </c>
      <c r="M173" s="335">
        <f t="shared" si="74"/>
        <v>0.2123080717765308</v>
      </c>
      <c r="N173" s="329">
        <f t="shared" si="70"/>
        <v>17215</v>
      </c>
    </row>
    <row r="174" spans="1:14" ht="12.6">
      <c r="A174" s="28" t="s">
        <v>236</v>
      </c>
      <c r="B174" s="57"/>
      <c r="C174" s="30" t="s">
        <v>277</v>
      </c>
      <c r="D174" s="112">
        <v>0</v>
      </c>
      <c r="E174" s="31">
        <v>8824</v>
      </c>
      <c r="F174" s="31">
        <f t="shared" ref="F174" si="96">+F180</f>
        <v>0</v>
      </c>
      <c r="G174" s="36">
        <f>+G180</f>
        <v>700</v>
      </c>
      <c r="H174" s="31">
        <f>+H180</f>
        <v>700</v>
      </c>
      <c r="I174" s="36">
        <f>+I180</f>
        <v>6978</v>
      </c>
      <c r="J174" s="31">
        <f>+J180</f>
        <v>7678</v>
      </c>
      <c r="K174" s="31">
        <f>+K180</f>
        <v>7678</v>
      </c>
      <c r="L174" s="36">
        <f t="shared" ref="L174" si="97">+L180</f>
        <v>0</v>
      </c>
      <c r="M174" s="335">
        <f t="shared" si="74"/>
        <v>-1</v>
      </c>
      <c r="N174" s="330">
        <f t="shared" si="70"/>
        <v>-7678</v>
      </c>
    </row>
    <row r="175" spans="1:14" ht="12.6">
      <c r="A175" s="54"/>
      <c r="B175" s="54"/>
      <c r="C175" s="54" t="s">
        <v>278</v>
      </c>
      <c r="D175" s="54"/>
      <c r="E175" s="54">
        <v>8824</v>
      </c>
      <c r="F175" s="222">
        <f t="shared" ref="F175:K175" si="98">F177+F178+F176+F179</f>
        <v>0</v>
      </c>
      <c r="G175" s="54">
        <f t="shared" si="98"/>
        <v>699</v>
      </c>
      <c r="H175" s="54">
        <f t="shared" si="98"/>
        <v>700</v>
      </c>
      <c r="I175" s="54">
        <f t="shared" si="98"/>
        <v>6977</v>
      </c>
      <c r="J175" s="54">
        <f t="shared" si="98"/>
        <v>7678</v>
      </c>
      <c r="K175" s="54">
        <f t="shared" si="98"/>
        <v>7678</v>
      </c>
      <c r="L175" s="225">
        <f t="shared" ref="L175" si="99">L177+L178+L176+L179</f>
        <v>0</v>
      </c>
      <c r="M175" s="335">
        <f t="shared" si="74"/>
        <v>-1</v>
      </c>
      <c r="N175" s="330">
        <f t="shared" si="70"/>
        <v>-7678</v>
      </c>
    </row>
    <row r="176" spans="1:14" ht="12.6">
      <c r="A176" s="141"/>
      <c r="B176" s="141">
        <v>45</v>
      </c>
      <c r="C176" s="141" t="s">
        <v>279</v>
      </c>
      <c r="D176" s="141"/>
      <c r="E176" s="141">
        <v>0</v>
      </c>
      <c r="F176" s="222">
        <v>0</v>
      </c>
      <c r="G176" s="141">
        <v>0</v>
      </c>
      <c r="H176" s="141">
        <v>0</v>
      </c>
      <c r="I176" s="141">
        <v>0</v>
      </c>
      <c r="J176" s="141">
        <v>0</v>
      </c>
      <c r="K176" s="141">
        <v>0</v>
      </c>
      <c r="L176" s="225">
        <v>0</v>
      </c>
      <c r="M176" s="335" t="e">
        <f t="shared" si="74"/>
        <v>#DIV/0!</v>
      </c>
      <c r="N176" s="330">
        <f t="shared" si="70"/>
        <v>0</v>
      </c>
    </row>
    <row r="177" spans="1:14" ht="12.6">
      <c r="A177" s="143"/>
      <c r="B177" s="143">
        <v>50</v>
      </c>
      <c r="C177" s="143" t="s">
        <v>280</v>
      </c>
      <c r="D177" s="143"/>
      <c r="E177" s="143">
        <v>0</v>
      </c>
      <c r="F177" s="224">
        <v>0</v>
      </c>
      <c r="G177" s="143">
        <v>0</v>
      </c>
      <c r="H177" s="143">
        <v>0</v>
      </c>
      <c r="I177" s="143">
        <v>0</v>
      </c>
      <c r="J177" s="143">
        <v>0</v>
      </c>
      <c r="K177" s="143">
        <v>0</v>
      </c>
      <c r="L177" s="226">
        <v>0</v>
      </c>
      <c r="M177" s="335" t="e">
        <f t="shared" si="74"/>
        <v>#DIV/0!</v>
      </c>
      <c r="N177" s="330">
        <f t="shared" si="70"/>
        <v>0</v>
      </c>
    </row>
    <row r="178" spans="1:14" ht="12.6">
      <c r="A178" s="137"/>
      <c r="B178" s="137">
        <v>55</v>
      </c>
      <c r="C178" s="137" t="s">
        <v>281</v>
      </c>
      <c r="D178" s="137"/>
      <c r="E178" s="137">
        <v>8824</v>
      </c>
      <c r="F178" s="224">
        <f t="shared" ref="F178:K178" si="100">F181</f>
        <v>0</v>
      </c>
      <c r="G178" s="137">
        <f t="shared" si="100"/>
        <v>700</v>
      </c>
      <c r="H178" s="137">
        <f t="shared" si="100"/>
        <v>700</v>
      </c>
      <c r="I178" s="137">
        <f t="shared" si="100"/>
        <v>6978</v>
      </c>
      <c r="J178" s="137">
        <f t="shared" si="100"/>
        <v>7678</v>
      </c>
      <c r="K178" s="137">
        <f t="shared" si="100"/>
        <v>7678</v>
      </c>
      <c r="L178" s="226">
        <f t="shared" ref="L178" si="101">L181</f>
        <v>0</v>
      </c>
      <c r="M178" s="335">
        <f t="shared" si="74"/>
        <v>-1</v>
      </c>
      <c r="N178" s="330">
        <f t="shared" si="70"/>
        <v>-7678</v>
      </c>
    </row>
    <row r="179" spans="1:14" ht="12.6">
      <c r="A179" s="140"/>
      <c r="B179" s="140">
        <v>60</v>
      </c>
      <c r="C179" s="140" t="s">
        <v>282</v>
      </c>
      <c r="D179" s="140"/>
      <c r="E179" s="140">
        <v>0</v>
      </c>
      <c r="F179" s="224">
        <v>0</v>
      </c>
      <c r="G179" s="140">
        <v>-1</v>
      </c>
      <c r="H179" s="140">
        <v>0</v>
      </c>
      <c r="I179" s="140">
        <v>-1</v>
      </c>
      <c r="J179" s="140">
        <v>0</v>
      </c>
      <c r="K179" s="140">
        <v>0</v>
      </c>
      <c r="L179" s="226">
        <v>0</v>
      </c>
      <c r="M179" s="335" t="e">
        <f t="shared" si="74"/>
        <v>#DIV/0!</v>
      </c>
      <c r="N179" s="330">
        <f t="shared" si="70"/>
        <v>0</v>
      </c>
    </row>
    <row r="180" spans="1:14" ht="12.6">
      <c r="A180" s="45" t="s">
        <v>283</v>
      </c>
      <c r="B180" s="46"/>
      <c r="C180" s="47" t="s">
        <v>284</v>
      </c>
      <c r="D180" s="103"/>
      <c r="E180" s="114">
        <v>8824</v>
      </c>
      <c r="F180" s="50">
        <f t="shared" ref="F180:L180" si="102">+F181</f>
        <v>0</v>
      </c>
      <c r="G180" s="132">
        <f t="shared" si="102"/>
        <v>700</v>
      </c>
      <c r="H180" s="114">
        <f t="shared" si="102"/>
        <v>700</v>
      </c>
      <c r="I180" s="132">
        <f t="shared" si="102"/>
        <v>6978</v>
      </c>
      <c r="J180" s="114">
        <f t="shared" si="102"/>
        <v>7678</v>
      </c>
      <c r="K180" s="114">
        <f t="shared" si="102"/>
        <v>7678</v>
      </c>
      <c r="L180" s="54">
        <f t="shared" si="102"/>
        <v>0</v>
      </c>
      <c r="M180" s="335">
        <f t="shared" si="74"/>
        <v>-1</v>
      </c>
      <c r="N180" s="329">
        <f t="shared" si="70"/>
        <v>-7678</v>
      </c>
    </row>
    <row r="181" spans="1:14" ht="14.1" customHeight="1">
      <c r="A181" s="32"/>
      <c r="B181" s="33">
        <v>5515</v>
      </c>
      <c r="C181" s="39" t="s">
        <v>213</v>
      </c>
      <c r="D181" s="52"/>
      <c r="E181" s="137">
        <v>8824</v>
      </c>
      <c r="F181" s="138">
        <v>0</v>
      </c>
      <c r="G181" s="194">
        <v>700</v>
      </c>
      <c r="H181" s="137">
        <f t="shared" ref="H181" si="103">+F181+G181</f>
        <v>700</v>
      </c>
      <c r="I181" s="17">
        <v>6978</v>
      </c>
      <c r="J181" s="137">
        <f t="shared" ref="J181" si="104">+H181+I181</f>
        <v>7678</v>
      </c>
      <c r="K181" s="137">
        <v>7678</v>
      </c>
      <c r="L181" s="137">
        <v>0</v>
      </c>
      <c r="M181" s="335">
        <f t="shared" si="74"/>
        <v>-1</v>
      </c>
      <c r="N181" s="329">
        <f t="shared" si="70"/>
        <v>-7678</v>
      </c>
    </row>
    <row r="182" spans="1:14" ht="14.1" customHeight="1">
      <c r="A182" s="28" t="s">
        <v>285</v>
      </c>
      <c r="B182" s="29"/>
      <c r="C182" s="30" t="s">
        <v>286</v>
      </c>
      <c r="D182" s="44">
        <v>2000</v>
      </c>
      <c r="E182" s="36">
        <v>10000</v>
      </c>
      <c r="F182" s="31">
        <f t="shared" ref="F182" si="105">+F188</f>
        <v>4515</v>
      </c>
      <c r="G182" s="36">
        <f t="shared" ref="G182:H182" si="106">+G188</f>
        <v>0</v>
      </c>
      <c r="H182" s="36">
        <f t="shared" si="106"/>
        <v>4515</v>
      </c>
      <c r="I182" s="36">
        <f t="shared" ref="I182:J182" si="107">+I188</f>
        <v>0</v>
      </c>
      <c r="J182" s="36">
        <f t="shared" si="107"/>
        <v>4515</v>
      </c>
      <c r="K182" s="36">
        <f t="shared" ref="K182:L182" si="108">+K188</f>
        <v>3148</v>
      </c>
      <c r="L182" s="36">
        <f t="shared" si="108"/>
        <v>5600</v>
      </c>
      <c r="M182" s="335">
        <f t="shared" si="74"/>
        <v>0.24031007751937986</v>
      </c>
      <c r="N182" s="330">
        <f t="shared" si="70"/>
        <v>1085</v>
      </c>
    </row>
    <row r="183" spans="1:14" ht="14.1" customHeight="1">
      <c r="A183" s="54"/>
      <c r="B183" s="54"/>
      <c r="C183" s="54" t="s">
        <v>287</v>
      </c>
      <c r="D183" s="54"/>
      <c r="E183" s="54">
        <v>10000</v>
      </c>
      <c r="F183" s="50">
        <f t="shared" ref="F183:H183" si="109">F185+F186+F184+F187</f>
        <v>4515</v>
      </c>
      <c r="G183" s="54">
        <f t="shared" si="109"/>
        <v>0</v>
      </c>
      <c r="H183" s="54">
        <f t="shared" si="109"/>
        <v>4515</v>
      </c>
      <c r="I183" s="54">
        <f t="shared" ref="I183:J183" si="110">I185+I186+I184+I187</f>
        <v>0</v>
      </c>
      <c r="J183" s="54">
        <f t="shared" si="110"/>
        <v>4515</v>
      </c>
      <c r="K183" s="54">
        <f t="shared" ref="K183:L183" si="111">K185+K186+K184+K187</f>
        <v>3148</v>
      </c>
      <c r="L183" s="54">
        <f t="shared" si="111"/>
        <v>5600</v>
      </c>
      <c r="M183" s="335">
        <f t="shared" si="74"/>
        <v>0.24031007751937986</v>
      </c>
      <c r="N183" s="330">
        <f t="shared" si="70"/>
        <v>1085</v>
      </c>
    </row>
    <row r="184" spans="1:14" ht="14.1" customHeight="1">
      <c r="A184" s="141"/>
      <c r="B184" s="141">
        <v>45</v>
      </c>
      <c r="C184" s="141" t="s">
        <v>288</v>
      </c>
      <c r="D184" s="141"/>
      <c r="E184" s="141">
        <v>6500</v>
      </c>
      <c r="F184" s="216">
        <f t="shared" ref="F184:H184" si="112">F189</f>
        <v>1500</v>
      </c>
      <c r="G184" s="141">
        <f t="shared" si="112"/>
        <v>0</v>
      </c>
      <c r="H184" s="141">
        <f t="shared" si="112"/>
        <v>1500</v>
      </c>
      <c r="I184" s="141">
        <f t="shared" ref="I184:J184" si="113">I189</f>
        <v>0</v>
      </c>
      <c r="J184" s="141">
        <f t="shared" si="113"/>
        <v>1500</v>
      </c>
      <c r="K184" s="141">
        <f t="shared" ref="K184:L184" si="114">K189</f>
        <v>1500</v>
      </c>
      <c r="L184" s="141">
        <f t="shared" si="114"/>
        <v>2500</v>
      </c>
      <c r="M184" s="335">
        <f t="shared" si="74"/>
        <v>0.66666666666666663</v>
      </c>
      <c r="N184" s="330">
        <f t="shared" si="70"/>
        <v>1000</v>
      </c>
    </row>
    <row r="185" spans="1:14" ht="14.1" customHeight="1">
      <c r="A185" s="143"/>
      <c r="B185" s="143">
        <v>50</v>
      </c>
      <c r="C185" s="143" t="s">
        <v>289</v>
      </c>
      <c r="D185" s="143"/>
      <c r="E185" s="143">
        <v>0</v>
      </c>
      <c r="F185" s="197">
        <v>0</v>
      </c>
      <c r="G185" s="143"/>
      <c r="H185" s="143">
        <v>0</v>
      </c>
      <c r="I185" s="143"/>
      <c r="J185" s="143">
        <v>0</v>
      </c>
      <c r="K185" s="143"/>
      <c r="L185" s="143">
        <v>0</v>
      </c>
      <c r="M185" s="335" t="e">
        <f t="shared" si="74"/>
        <v>#DIV/0!</v>
      </c>
      <c r="N185" s="330">
        <f t="shared" si="70"/>
        <v>0</v>
      </c>
    </row>
    <row r="186" spans="1:14" ht="14.1" customHeight="1">
      <c r="A186" s="137"/>
      <c r="B186" s="137">
        <v>55</v>
      </c>
      <c r="C186" s="137" t="s">
        <v>290</v>
      </c>
      <c r="D186" s="137"/>
      <c r="E186" s="137">
        <v>3500</v>
      </c>
      <c r="F186" s="138">
        <f t="shared" ref="F186:H186" si="115">F190</f>
        <v>3015</v>
      </c>
      <c r="G186" s="137">
        <f t="shared" si="115"/>
        <v>0</v>
      </c>
      <c r="H186" s="137">
        <f t="shared" si="115"/>
        <v>3015</v>
      </c>
      <c r="I186" s="137">
        <f t="shared" ref="I186:J186" si="116">I190</f>
        <v>0</v>
      </c>
      <c r="J186" s="137">
        <f t="shared" si="116"/>
        <v>3015</v>
      </c>
      <c r="K186" s="137">
        <f t="shared" ref="K186:L186" si="117">K190</f>
        <v>1648</v>
      </c>
      <c r="L186" s="137">
        <f t="shared" si="117"/>
        <v>3100</v>
      </c>
      <c r="M186" s="335">
        <f t="shared" si="74"/>
        <v>2.8192371475953566E-2</v>
      </c>
      <c r="N186" s="330">
        <f t="shared" si="70"/>
        <v>85</v>
      </c>
    </row>
    <row r="187" spans="1:14" ht="14.1" customHeight="1">
      <c r="A187" s="140"/>
      <c r="B187" s="140">
        <v>60</v>
      </c>
      <c r="C187" s="140" t="s">
        <v>291</v>
      </c>
      <c r="D187" s="140"/>
      <c r="E187" s="140">
        <v>0</v>
      </c>
      <c r="F187" s="200">
        <v>0</v>
      </c>
      <c r="G187" s="140">
        <v>0</v>
      </c>
      <c r="H187" s="140">
        <v>0</v>
      </c>
      <c r="I187" s="140">
        <v>0</v>
      </c>
      <c r="J187" s="140">
        <v>0</v>
      </c>
      <c r="K187" s="140"/>
      <c r="L187" s="140">
        <v>0</v>
      </c>
      <c r="M187" s="335" t="e">
        <f t="shared" si="74"/>
        <v>#DIV/0!</v>
      </c>
      <c r="N187" s="330">
        <f t="shared" si="70"/>
        <v>0</v>
      </c>
    </row>
    <row r="188" spans="1:14" s="6" customFormat="1" ht="14.1" customHeight="1">
      <c r="A188" s="56" t="s">
        <v>292</v>
      </c>
      <c r="B188" s="46"/>
      <c r="C188" s="47" t="s">
        <v>293</v>
      </c>
      <c r="D188" s="53">
        <v>2000</v>
      </c>
      <c r="E188" s="54">
        <v>10000</v>
      </c>
      <c r="F188" s="50">
        <f t="shared" ref="F188" si="118">+F190+F189</f>
        <v>4515</v>
      </c>
      <c r="G188" s="54">
        <f t="shared" ref="G188:H188" si="119">+G190+G189</f>
        <v>0</v>
      </c>
      <c r="H188" s="54">
        <f t="shared" si="119"/>
        <v>4515</v>
      </c>
      <c r="I188" s="54">
        <f t="shared" ref="I188:L188" si="120">+I190+I189</f>
        <v>0</v>
      </c>
      <c r="J188" s="54">
        <f t="shared" si="120"/>
        <v>4515</v>
      </c>
      <c r="K188" s="54">
        <f t="shared" si="120"/>
        <v>3148</v>
      </c>
      <c r="L188" s="54">
        <f t="shared" si="120"/>
        <v>5600</v>
      </c>
      <c r="M188" s="335">
        <f t="shared" si="74"/>
        <v>0.24031007751937986</v>
      </c>
      <c r="N188" s="329">
        <f t="shared" si="70"/>
        <v>1085</v>
      </c>
    </row>
    <row r="189" spans="1:14" s="6" customFormat="1" ht="14.1" customHeight="1">
      <c r="A189" s="37"/>
      <c r="B189" s="38">
        <v>452</v>
      </c>
      <c r="C189" s="39" t="s">
        <v>294</v>
      </c>
      <c r="D189" s="51"/>
      <c r="E189" s="140">
        <v>6500</v>
      </c>
      <c r="F189" s="200">
        <v>1500</v>
      </c>
      <c r="G189" s="140"/>
      <c r="H189" s="140">
        <f>+F189+G189</f>
        <v>1500</v>
      </c>
      <c r="I189" s="140"/>
      <c r="J189" s="140">
        <f>+H189+I189</f>
        <v>1500</v>
      </c>
      <c r="K189" s="201">
        <v>1500</v>
      </c>
      <c r="L189" s="140">
        <v>2500</v>
      </c>
      <c r="M189" s="335">
        <f t="shared" si="74"/>
        <v>0.66666666666666663</v>
      </c>
      <c r="N189" s="329">
        <f t="shared" si="70"/>
        <v>1000</v>
      </c>
    </row>
    <row r="190" spans="1:14" ht="14.1" customHeight="1">
      <c r="A190" s="32"/>
      <c r="B190" s="38">
        <v>55</v>
      </c>
      <c r="C190" s="39" t="s">
        <v>213</v>
      </c>
      <c r="D190" s="52">
        <v>2000</v>
      </c>
      <c r="E190" s="137">
        <v>3500</v>
      </c>
      <c r="F190" s="137">
        <f t="shared" ref="F190:H190" si="121">F191+F192</f>
        <v>3015</v>
      </c>
      <c r="G190" s="137">
        <f t="shared" si="121"/>
        <v>0</v>
      </c>
      <c r="H190" s="137">
        <f t="shared" si="121"/>
        <v>3015</v>
      </c>
      <c r="I190" s="137">
        <f t="shared" ref="I190:L190" si="122">I191+I192</f>
        <v>0</v>
      </c>
      <c r="J190" s="137">
        <f t="shared" si="122"/>
        <v>3015</v>
      </c>
      <c r="K190" s="137">
        <f t="shared" si="122"/>
        <v>1648</v>
      </c>
      <c r="L190" s="137">
        <f t="shared" si="122"/>
        <v>3100</v>
      </c>
      <c r="M190" s="335">
        <f t="shared" si="74"/>
        <v>2.8192371475953566E-2</v>
      </c>
      <c r="N190" s="329">
        <f t="shared" si="70"/>
        <v>85</v>
      </c>
    </row>
    <row r="191" spans="1:14" ht="14.1" customHeight="1">
      <c r="A191" s="32"/>
      <c r="B191" s="33" t="s">
        <v>214</v>
      </c>
      <c r="C191" s="34" t="s">
        <v>295</v>
      </c>
      <c r="D191" s="52"/>
      <c r="E191" s="17"/>
      <c r="F191" s="224">
        <v>15</v>
      </c>
      <c r="G191" s="17"/>
      <c r="H191" s="17">
        <f>F191+G191</f>
        <v>15</v>
      </c>
      <c r="I191" s="17"/>
      <c r="J191" s="17">
        <f>H191+I191</f>
        <v>15</v>
      </c>
      <c r="K191" s="17">
        <v>11</v>
      </c>
      <c r="L191" s="226">
        <v>15</v>
      </c>
      <c r="M191" s="335">
        <f t="shared" si="74"/>
        <v>0</v>
      </c>
      <c r="N191" s="329">
        <f t="shared" si="70"/>
        <v>0</v>
      </c>
    </row>
    <row r="192" spans="1:14" ht="14.1" customHeight="1">
      <c r="A192" s="32"/>
      <c r="B192" s="33">
        <v>5511</v>
      </c>
      <c r="C192" s="34" t="s">
        <v>219</v>
      </c>
      <c r="D192" s="52"/>
      <c r="E192" s="17"/>
      <c r="F192" s="224">
        <v>3000</v>
      </c>
      <c r="G192" s="17"/>
      <c r="H192" s="17">
        <f>F192+G192</f>
        <v>3000</v>
      </c>
      <c r="I192" s="17"/>
      <c r="J192" s="17">
        <f>H192+I192</f>
        <v>3000</v>
      </c>
      <c r="K192" s="17">
        <v>1637</v>
      </c>
      <c r="L192" s="226">
        <v>3085</v>
      </c>
      <c r="M192" s="335">
        <f t="shared" si="74"/>
        <v>2.8333333333333332E-2</v>
      </c>
      <c r="N192" s="329">
        <f t="shared" si="70"/>
        <v>85</v>
      </c>
    </row>
    <row r="193" spans="1:14" ht="14.1" customHeight="1">
      <c r="A193" s="28" t="s">
        <v>296</v>
      </c>
      <c r="B193" s="29">
        <v>4</v>
      </c>
      <c r="C193" s="30" t="s">
        <v>297</v>
      </c>
      <c r="D193" s="44">
        <v>1405811.4</v>
      </c>
      <c r="E193" s="44">
        <v>1841359.8900000001</v>
      </c>
      <c r="F193" s="42">
        <f>+F199+F208+F215+F219+F228+F241+F250</f>
        <v>2176730</v>
      </c>
      <c r="G193" s="42">
        <f t="shared" ref="G193:H193" si="123">+G199+G208+G215+G219+G228+G241+G250</f>
        <v>-84500</v>
      </c>
      <c r="H193" s="42">
        <f t="shared" si="123"/>
        <v>2092230</v>
      </c>
      <c r="I193" s="42">
        <f t="shared" ref="I193:J193" si="124">+I199+I208+I215+I219+I228+I241+I250</f>
        <v>79850</v>
      </c>
      <c r="J193" s="42">
        <f t="shared" si="124"/>
        <v>2172080</v>
      </c>
      <c r="K193" s="42">
        <f>+K199+K208+K215+K219+K228+K241+K250+K236</f>
        <v>1854824.8</v>
      </c>
      <c r="L193" s="42">
        <f>+L199+L208+L215+L219+L228+L241+L250+L236</f>
        <v>2350000</v>
      </c>
      <c r="M193" s="335">
        <f t="shared" si="74"/>
        <v>8.1912268424735743E-2</v>
      </c>
      <c r="N193" s="330">
        <f t="shared" si="70"/>
        <v>177920</v>
      </c>
    </row>
    <row r="194" spans="1:14" ht="14.1" customHeight="1">
      <c r="A194" s="54"/>
      <c r="B194" s="54"/>
      <c r="C194" s="54" t="s">
        <v>298</v>
      </c>
      <c r="D194" s="54"/>
      <c r="E194" s="54">
        <v>1841359.8900000001</v>
      </c>
      <c r="F194" s="50">
        <f>F196+F197+F195+F198</f>
        <v>2176730</v>
      </c>
      <c r="G194" s="50">
        <f t="shared" ref="G194:H194" si="125">G196+G197+G195+G198</f>
        <v>-84500</v>
      </c>
      <c r="H194" s="50">
        <f t="shared" si="125"/>
        <v>2092230</v>
      </c>
      <c r="I194" s="50">
        <f t="shared" ref="I194:J194" si="126">I196+I197+I195+I198</f>
        <v>79850</v>
      </c>
      <c r="J194" s="50">
        <f t="shared" si="126"/>
        <v>2172080</v>
      </c>
      <c r="K194" s="50">
        <f t="shared" ref="K194" si="127">K196+K197+K195+K198</f>
        <v>1854824.8</v>
      </c>
      <c r="L194" s="50">
        <f>L196+L197+L195+L198</f>
        <v>2350000</v>
      </c>
      <c r="M194" s="335">
        <f t="shared" si="74"/>
        <v>8.1912268424735743E-2</v>
      </c>
      <c r="N194" s="330">
        <f t="shared" si="70"/>
        <v>177920</v>
      </c>
    </row>
    <row r="195" spans="1:14" ht="14.1" customHeight="1">
      <c r="A195" s="141"/>
      <c r="B195" s="141">
        <v>45</v>
      </c>
      <c r="C195" s="141" t="s">
        <v>299</v>
      </c>
      <c r="D195" s="141"/>
      <c r="E195" s="141">
        <v>55100</v>
      </c>
      <c r="F195" s="141">
        <f t="shared" ref="F195:H195" si="128">F229+F242</f>
        <v>2100</v>
      </c>
      <c r="G195" s="141">
        <f t="shared" si="128"/>
        <v>0</v>
      </c>
      <c r="H195" s="141">
        <f t="shared" si="128"/>
        <v>2100</v>
      </c>
      <c r="I195" s="141">
        <f t="shared" ref="I195:J195" si="129">I229+I242</f>
        <v>0</v>
      </c>
      <c r="J195" s="141">
        <f t="shared" si="129"/>
        <v>2100</v>
      </c>
      <c r="K195" s="141">
        <f t="shared" ref="K195:L195" si="130">K229+K242</f>
        <v>1400</v>
      </c>
      <c r="L195" s="141">
        <f t="shared" si="130"/>
        <v>2100</v>
      </c>
      <c r="M195" s="335">
        <f t="shared" si="74"/>
        <v>0</v>
      </c>
      <c r="N195" s="330">
        <f t="shared" si="70"/>
        <v>0</v>
      </c>
    </row>
    <row r="196" spans="1:14" ht="14.1" customHeight="1">
      <c r="A196" s="143"/>
      <c r="B196" s="143">
        <v>50</v>
      </c>
      <c r="C196" s="143" t="s">
        <v>300</v>
      </c>
      <c r="D196" s="143"/>
      <c r="E196" s="143">
        <v>576207</v>
      </c>
      <c r="F196" s="197">
        <f>F200+F220+F251</f>
        <v>744012</v>
      </c>
      <c r="G196" s="197">
        <f t="shared" ref="G196:H196" si="131">G200+G220+G251</f>
        <v>0</v>
      </c>
      <c r="H196" s="197">
        <f t="shared" si="131"/>
        <v>744012</v>
      </c>
      <c r="I196" s="197">
        <f>I200+I220+I251</f>
        <v>-14850</v>
      </c>
      <c r="J196" s="197">
        <f t="shared" ref="J196" si="132">J200+J220+J251</f>
        <v>729162</v>
      </c>
      <c r="K196" s="197">
        <f t="shared" ref="K196" si="133">K200+K220+K251</f>
        <v>552287</v>
      </c>
      <c r="L196" s="197">
        <f>L200+L220+L251</f>
        <v>724700</v>
      </c>
      <c r="M196" s="335">
        <f t="shared" si="74"/>
        <v>-6.1193534495763632E-3</v>
      </c>
      <c r="N196" s="330">
        <f t="shared" si="70"/>
        <v>-4462</v>
      </c>
    </row>
    <row r="197" spans="1:14" ht="14.1" customHeight="1">
      <c r="A197" s="137"/>
      <c r="B197" s="137">
        <v>55</v>
      </c>
      <c r="C197" s="137" t="s">
        <v>301</v>
      </c>
      <c r="D197" s="137"/>
      <c r="E197" s="137">
        <v>1210027.8900000001</v>
      </c>
      <c r="F197" s="137">
        <f t="shared" ref="F197:H197" si="134">F201+F209+F216+F221+F230+F243+F252</f>
        <v>1430593</v>
      </c>
      <c r="G197" s="137">
        <f t="shared" si="134"/>
        <v>-84500</v>
      </c>
      <c r="H197" s="137">
        <f t="shared" si="134"/>
        <v>1346093</v>
      </c>
      <c r="I197" s="137">
        <f t="shared" ref="I197:J197" si="135">I201+I209+I216+I221+I230+I243+I252</f>
        <v>94700</v>
      </c>
      <c r="J197" s="137">
        <f t="shared" si="135"/>
        <v>1440793</v>
      </c>
      <c r="K197" s="137">
        <f>K201+K209+K216+K221+K230+K243+K252+K237</f>
        <v>1301137.8</v>
      </c>
      <c r="L197" s="137">
        <f>L201+L209+L216+L221+L230+L243+L252+L237</f>
        <v>1623175</v>
      </c>
      <c r="M197" s="335">
        <f t="shared" si="74"/>
        <v>0.12658445730927342</v>
      </c>
      <c r="N197" s="330">
        <f t="shared" si="70"/>
        <v>182382</v>
      </c>
    </row>
    <row r="198" spans="1:14" ht="14.1" customHeight="1">
      <c r="A198" s="140"/>
      <c r="B198" s="140">
        <v>60</v>
      </c>
      <c r="C198" s="140" t="s">
        <v>302</v>
      </c>
      <c r="D198" s="140"/>
      <c r="E198" s="140">
        <v>25</v>
      </c>
      <c r="F198" s="200">
        <f>F227</f>
        <v>25</v>
      </c>
      <c r="G198" s="200">
        <f t="shared" ref="G198:H198" si="136">G227</f>
        <v>0</v>
      </c>
      <c r="H198" s="200">
        <f t="shared" si="136"/>
        <v>25</v>
      </c>
      <c r="I198" s="200">
        <f t="shared" ref="I198:J198" si="137">I227</f>
        <v>0</v>
      </c>
      <c r="J198" s="200">
        <f t="shared" si="137"/>
        <v>25</v>
      </c>
      <c r="K198" s="200">
        <f t="shared" ref="K198" si="138">K227</f>
        <v>0</v>
      </c>
      <c r="L198" s="200">
        <f>L227</f>
        <v>25</v>
      </c>
      <c r="M198" s="335">
        <f t="shared" si="74"/>
        <v>0</v>
      </c>
      <c r="N198" s="330">
        <f t="shared" ref="N198:N261" si="139">L198-J198</f>
        <v>0</v>
      </c>
    </row>
    <row r="199" spans="1:14" ht="14.1" customHeight="1">
      <c r="A199" s="45" t="s">
        <v>303</v>
      </c>
      <c r="B199" s="46"/>
      <c r="C199" s="47" t="s">
        <v>304</v>
      </c>
      <c r="D199" s="53">
        <v>116185</v>
      </c>
      <c r="E199" s="54">
        <v>26061</v>
      </c>
      <c r="F199" s="50">
        <f t="shared" ref="F199:H199" si="140">+F200+F201</f>
        <v>30151</v>
      </c>
      <c r="G199" s="50">
        <f t="shared" si="140"/>
        <v>0</v>
      </c>
      <c r="H199" s="54">
        <f t="shared" si="140"/>
        <v>30151</v>
      </c>
      <c r="I199" s="50">
        <f t="shared" ref="I199:J199" si="141">+I200+I201</f>
        <v>0</v>
      </c>
      <c r="J199" s="54">
        <f t="shared" si="141"/>
        <v>30151</v>
      </c>
      <c r="K199" s="54">
        <f t="shared" ref="K199:L199" si="142">+K200+K201</f>
        <v>22541</v>
      </c>
      <c r="L199" s="50">
        <f t="shared" si="142"/>
        <v>26500</v>
      </c>
      <c r="M199" s="335">
        <f t="shared" si="74"/>
        <v>-0.1210905110941594</v>
      </c>
      <c r="N199" s="329">
        <f t="shared" si="139"/>
        <v>-3651</v>
      </c>
    </row>
    <row r="200" spans="1:14" ht="14.1" customHeight="1">
      <c r="A200" s="37"/>
      <c r="B200" s="38" t="s">
        <v>210</v>
      </c>
      <c r="C200" s="39" t="s">
        <v>211</v>
      </c>
      <c r="D200" s="52">
        <v>18465</v>
      </c>
      <c r="E200" s="143">
        <v>20311</v>
      </c>
      <c r="F200" s="197">
        <v>23361</v>
      </c>
      <c r="G200" s="197"/>
      <c r="H200" s="143">
        <f t="shared" ref="H200" si="143">+G200+F200</f>
        <v>23361</v>
      </c>
      <c r="I200" s="197"/>
      <c r="J200" s="143">
        <f t="shared" ref="J200" si="144">+I200+H200</f>
        <v>23361</v>
      </c>
      <c r="K200" s="143">
        <v>17073</v>
      </c>
      <c r="L200" s="152">
        <v>23700</v>
      </c>
      <c r="M200" s="335">
        <f>(L200-J200)/J200</f>
        <v>1.4511365095672274E-2</v>
      </c>
      <c r="N200" s="329">
        <f t="shared" si="139"/>
        <v>339</v>
      </c>
    </row>
    <row r="201" spans="1:14" ht="14.1" customHeight="1">
      <c r="A201" s="37"/>
      <c r="B201" s="38" t="s">
        <v>212</v>
      </c>
      <c r="C201" s="39" t="s">
        <v>213</v>
      </c>
      <c r="D201" s="52">
        <v>97720</v>
      </c>
      <c r="E201" s="137">
        <v>5750</v>
      </c>
      <c r="F201" s="138">
        <f t="shared" ref="F201:H201" si="145">+F202+F203+F204+F205+F206+F207</f>
        <v>6790</v>
      </c>
      <c r="G201" s="137">
        <f t="shared" si="145"/>
        <v>0</v>
      </c>
      <c r="H201" s="137">
        <f t="shared" si="145"/>
        <v>6790</v>
      </c>
      <c r="I201" s="137">
        <f t="shared" ref="I201:K201" si="146">+I202+I203+I204+I205+I206+I207</f>
        <v>0</v>
      </c>
      <c r="J201" s="137">
        <f t="shared" si="146"/>
        <v>6790</v>
      </c>
      <c r="K201" s="137">
        <f t="shared" si="146"/>
        <v>5468</v>
      </c>
      <c r="L201" s="137">
        <f t="shared" ref="L201" si="147">+L202+L203+L204+L205+L206+L207</f>
        <v>2800</v>
      </c>
      <c r="M201" s="335">
        <f t="shared" si="74"/>
        <v>-0.58762886597938147</v>
      </c>
      <c r="N201" s="329">
        <f t="shared" si="139"/>
        <v>-3990</v>
      </c>
    </row>
    <row r="202" spans="1:14" ht="14.1" customHeight="1">
      <c r="A202" s="32"/>
      <c r="B202" s="33" t="s">
        <v>214</v>
      </c>
      <c r="C202" s="34" t="s">
        <v>295</v>
      </c>
      <c r="D202" s="52">
        <v>20</v>
      </c>
      <c r="E202" s="17">
        <v>50</v>
      </c>
      <c r="F202" s="224">
        <v>90</v>
      </c>
      <c r="G202" s="17"/>
      <c r="H202" s="17">
        <f>+G202+F202</f>
        <v>90</v>
      </c>
      <c r="I202" s="17"/>
      <c r="J202" s="17">
        <f>+I202+H202</f>
        <v>90</v>
      </c>
      <c r="K202" s="17">
        <v>51</v>
      </c>
      <c r="L202" s="226">
        <v>100</v>
      </c>
      <c r="M202" s="335">
        <f t="shared" ref="M202:M271" si="148">(L202-J202)/J202</f>
        <v>0.1111111111111111</v>
      </c>
      <c r="N202" s="329">
        <f t="shared" si="139"/>
        <v>10</v>
      </c>
    </row>
    <row r="203" spans="1:14" ht="14.1" customHeight="1">
      <c r="A203" s="32"/>
      <c r="B203" s="33">
        <v>5504</v>
      </c>
      <c r="C203" s="34" t="s">
        <v>230</v>
      </c>
      <c r="D203" s="52">
        <v>200</v>
      </c>
      <c r="E203" s="17">
        <v>200</v>
      </c>
      <c r="F203" s="224">
        <v>300</v>
      </c>
      <c r="G203" s="17"/>
      <c r="H203" s="17">
        <f t="shared" ref="H203:H207" si="149">+G203+F203</f>
        <v>300</v>
      </c>
      <c r="I203" s="17"/>
      <c r="J203" s="17">
        <f t="shared" ref="J203:J207" si="150">+I203+H203</f>
        <v>300</v>
      </c>
      <c r="K203" s="17"/>
      <c r="L203" s="226">
        <v>200</v>
      </c>
      <c r="M203" s="335">
        <f t="shared" si="148"/>
        <v>-0.33333333333333331</v>
      </c>
      <c r="N203" s="329">
        <f t="shared" si="139"/>
        <v>-100</v>
      </c>
    </row>
    <row r="204" spans="1:14" ht="14.1" customHeight="1">
      <c r="A204" s="32"/>
      <c r="B204" s="33">
        <v>5513</v>
      </c>
      <c r="C204" s="34" t="s">
        <v>254</v>
      </c>
      <c r="D204" s="52">
        <v>2500</v>
      </c>
      <c r="E204" s="17">
        <v>2500</v>
      </c>
      <c r="F204" s="224">
        <v>2100</v>
      </c>
      <c r="G204" s="17"/>
      <c r="H204" s="17">
        <f t="shared" si="149"/>
        <v>2100</v>
      </c>
      <c r="I204" s="17"/>
      <c r="J204" s="17">
        <f t="shared" si="150"/>
        <v>2100</v>
      </c>
      <c r="K204" s="17">
        <v>1659</v>
      </c>
      <c r="L204" s="226">
        <v>2500</v>
      </c>
      <c r="M204" s="335">
        <f t="shared" si="148"/>
        <v>0.19047619047619047</v>
      </c>
      <c r="N204" s="329">
        <f t="shared" si="139"/>
        <v>400</v>
      </c>
    </row>
    <row r="205" spans="1:14" ht="14.1" customHeight="1">
      <c r="A205" s="32"/>
      <c r="B205" s="33">
        <v>5514</v>
      </c>
      <c r="C205" s="34" t="s">
        <v>221</v>
      </c>
      <c r="D205" s="52">
        <v>0</v>
      </c>
      <c r="E205" s="17">
        <v>0</v>
      </c>
      <c r="F205" s="224">
        <v>0</v>
      </c>
      <c r="G205" s="17"/>
      <c r="H205" s="17">
        <f t="shared" si="149"/>
        <v>0</v>
      </c>
      <c r="I205" s="17"/>
      <c r="J205" s="17">
        <f t="shared" si="150"/>
        <v>0</v>
      </c>
      <c r="K205" s="17"/>
      <c r="L205" s="226"/>
      <c r="M205" s="335" t="e">
        <f t="shared" si="148"/>
        <v>#DIV/0!</v>
      </c>
      <c r="N205" s="329">
        <f t="shared" si="139"/>
        <v>0</v>
      </c>
    </row>
    <row r="206" spans="1:14" ht="14.1" customHeight="1">
      <c r="A206" s="32"/>
      <c r="B206" s="33">
        <v>5522</v>
      </c>
      <c r="C206" s="34" t="s">
        <v>262</v>
      </c>
      <c r="D206" s="52">
        <v>0</v>
      </c>
      <c r="E206" s="17">
        <v>0</v>
      </c>
      <c r="F206" s="224">
        <v>100</v>
      </c>
      <c r="G206" s="17"/>
      <c r="H206" s="17">
        <f t="shared" si="149"/>
        <v>100</v>
      </c>
      <c r="I206" s="17"/>
      <c r="J206" s="17">
        <f t="shared" si="150"/>
        <v>100</v>
      </c>
      <c r="K206" s="17">
        <v>345</v>
      </c>
      <c r="L206" s="226"/>
      <c r="M206" s="335">
        <f t="shared" si="148"/>
        <v>-1</v>
      </c>
      <c r="N206" s="329">
        <f t="shared" si="139"/>
        <v>-100</v>
      </c>
    </row>
    <row r="207" spans="1:14" ht="14.1" customHeight="1">
      <c r="A207" s="32"/>
      <c r="B207" s="33" t="s">
        <v>305</v>
      </c>
      <c r="C207" s="34" t="s">
        <v>265</v>
      </c>
      <c r="D207" s="52">
        <v>95000</v>
      </c>
      <c r="E207" s="17">
        <v>3000</v>
      </c>
      <c r="F207" s="224">
        <v>4200</v>
      </c>
      <c r="G207" s="17"/>
      <c r="H207" s="17">
        <f t="shared" si="149"/>
        <v>4200</v>
      </c>
      <c r="I207" s="17"/>
      <c r="J207" s="17">
        <f t="shared" si="150"/>
        <v>4200</v>
      </c>
      <c r="K207" s="17">
        <v>3413</v>
      </c>
      <c r="L207" s="226">
        <v>0</v>
      </c>
      <c r="M207" s="335">
        <f t="shared" si="148"/>
        <v>-1</v>
      </c>
      <c r="N207" s="329">
        <f t="shared" si="139"/>
        <v>-4200</v>
      </c>
    </row>
    <row r="208" spans="1:14" ht="14.1" customHeight="1">
      <c r="A208" s="45" t="s">
        <v>306</v>
      </c>
      <c r="B208" s="46"/>
      <c r="C208" s="47" t="s">
        <v>307</v>
      </c>
      <c r="D208" s="53">
        <v>593000</v>
      </c>
      <c r="E208" s="54">
        <v>633340.89</v>
      </c>
      <c r="F208" s="50">
        <f t="shared" ref="F208:L208" si="151">F209</f>
        <v>700125</v>
      </c>
      <c r="G208" s="54">
        <f t="shared" si="151"/>
        <v>-60000</v>
      </c>
      <c r="H208" s="54">
        <f t="shared" si="151"/>
        <v>640125</v>
      </c>
      <c r="I208" s="54">
        <f t="shared" si="151"/>
        <v>-100000</v>
      </c>
      <c r="J208" s="54">
        <f t="shared" si="151"/>
        <v>540125</v>
      </c>
      <c r="K208" s="54">
        <f t="shared" si="151"/>
        <v>584501</v>
      </c>
      <c r="L208" s="50">
        <f t="shared" si="151"/>
        <v>700000</v>
      </c>
      <c r="M208" s="335">
        <f t="shared" si="148"/>
        <v>0.29599629715343673</v>
      </c>
      <c r="N208" s="329">
        <f t="shared" si="139"/>
        <v>159875</v>
      </c>
    </row>
    <row r="209" spans="1:14" ht="14.1" customHeight="1">
      <c r="A209" s="32"/>
      <c r="B209" s="33">
        <v>55</v>
      </c>
      <c r="C209" s="34" t="s">
        <v>213</v>
      </c>
      <c r="D209" s="52">
        <v>593000</v>
      </c>
      <c r="E209" s="138">
        <v>633340.89</v>
      </c>
      <c r="F209" s="138">
        <f t="shared" ref="F209:H209" si="152">SUM(F210:F214)</f>
        <v>700125</v>
      </c>
      <c r="G209" s="138">
        <f t="shared" si="152"/>
        <v>-60000</v>
      </c>
      <c r="H209" s="138">
        <f t="shared" si="152"/>
        <v>640125</v>
      </c>
      <c r="I209" s="138">
        <f t="shared" ref="I209:K209" si="153">SUM(I210:I214)</f>
        <v>-100000</v>
      </c>
      <c r="J209" s="138">
        <f t="shared" si="153"/>
        <v>540125</v>
      </c>
      <c r="K209" s="138">
        <f t="shared" si="153"/>
        <v>584501</v>
      </c>
      <c r="L209" s="138">
        <f t="shared" ref="L209" si="154">SUM(L210:L214)</f>
        <v>700000</v>
      </c>
      <c r="M209" s="335">
        <f t="shared" si="148"/>
        <v>0.29599629715343673</v>
      </c>
      <c r="N209" s="329">
        <f t="shared" si="139"/>
        <v>159875</v>
      </c>
    </row>
    <row r="210" spans="1:14" ht="14.1" customHeight="1">
      <c r="A210" s="32"/>
      <c r="B210" s="33">
        <v>5500</v>
      </c>
      <c r="C210" s="34" t="s">
        <v>295</v>
      </c>
      <c r="D210" s="52">
        <v>0</v>
      </c>
      <c r="E210" s="17">
        <v>15</v>
      </c>
      <c r="F210" s="224">
        <v>25</v>
      </c>
      <c r="G210" s="17"/>
      <c r="H210" s="17">
        <f t="shared" ref="H210:H218" si="155">+G210+F210</f>
        <v>25</v>
      </c>
      <c r="I210" s="17"/>
      <c r="J210" s="17">
        <f t="shared" ref="J210:J214" si="156">+I210+H210</f>
        <v>25</v>
      </c>
      <c r="K210" s="17">
        <v>8</v>
      </c>
      <c r="L210" s="226">
        <v>0</v>
      </c>
      <c r="M210" s="335">
        <f t="shared" si="148"/>
        <v>-1</v>
      </c>
      <c r="N210" s="329">
        <f t="shared" si="139"/>
        <v>-25</v>
      </c>
    </row>
    <row r="211" spans="1:14" ht="14.1" customHeight="1">
      <c r="A211" s="32"/>
      <c r="B211" s="33">
        <v>5512</v>
      </c>
      <c r="C211" s="34" t="s">
        <v>252</v>
      </c>
      <c r="D211" s="52">
        <v>593000</v>
      </c>
      <c r="E211" s="17">
        <v>620000</v>
      </c>
      <c r="F211" s="224">
        <v>675100</v>
      </c>
      <c r="G211" s="17">
        <v>-50000</v>
      </c>
      <c r="H211" s="17">
        <f t="shared" si="155"/>
        <v>625100</v>
      </c>
      <c r="I211" s="94">
        <v>-100000</v>
      </c>
      <c r="J211" s="17">
        <f t="shared" si="156"/>
        <v>525100</v>
      </c>
      <c r="K211" s="17">
        <v>580740</v>
      </c>
      <c r="L211" s="226">
        <v>678000</v>
      </c>
      <c r="M211" s="335">
        <f t="shared" si="148"/>
        <v>0.291182631879642</v>
      </c>
      <c r="N211" s="329">
        <f t="shared" si="139"/>
        <v>152900</v>
      </c>
    </row>
    <row r="212" spans="1:14" ht="14.1" customHeight="1">
      <c r="A212" s="32"/>
      <c r="B212" s="33">
        <v>5514</v>
      </c>
      <c r="C212" s="34" t="s">
        <v>221</v>
      </c>
      <c r="D212" s="52">
        <v>0</v>
      </c>
      <c r="E212" s="17">
        <v>0</v>
      </c>
      <c r="F212" s="224">
        <v>0</v>
      </c>
      <c r="G212" s="17"/>
      <c r="H212" s="17">
        <f t="shared" si="155"/>
        <v>0</v>
      </c>
      <c r="I212" s="17"/>
      <c r="J212" s="17">
        <f t="shared" si="156"/>
        <v>0</v>
      </c>
      <c r="K212" s="17"/>
      <c r="L212" s="226"/>
      <c r="M212" s="335" t="e">
        <f t="shared" si="148"/>
        <v>#DIV/0!</v>
      </c>
      <c r="N212" s="329">
        <f t="shared" si="139"/>
        <v>0</v>
      </c>
    </row>
    <row r="213" spans="1:14" ht="14.1" customHeight="1">
      <c r="A213" s="32"/>
      <c r="B213" s="33">
        <v>5515</v>
      </c>
      <c r="C213" s="34" t="s">
        <v>308</v>
      </c>
      <c r="D213" s="52">
        <v>0</v>
      </c>
      <c r="E213" s="17">
        <v>11418</v>
      </c>
      <c r="F213" s="224">
        <v>25000</v>
      </c>
      <c r="G213" s="17">
        <v>-10000</v>
      </c>
      <c r="H213" s="17">
        <f t="shared" si="155"/>
        <v>15000</v>
      </c>
      <c r="I213" s="17"/>
      <c r="J213" s="17">
        <f t="shared" si="156"/>
        <v>15000</v>
      </c>
      <c r="K213" s="17">
        <v>3753</v>
      </c>
      <c r="L213" s="226">
        <v>22000</v>
      </c>
      <c r="M213" s="335">
        <f t="shared" si="148"/>
        <v>0.46666666666666667</v>
      </c>
      <c r="N213" s="329">
        <f t="shared" si="139"/>
        <v>7000</v>
      </c>
    </row>
    <row r="214" spans="1:14" ht="14.1" customHeight="1">
      <c r="A214" s="32"/>
      <c r="B214" s="33" t="s">
        <v>305</v>
      </c>
      <c r="C214" s="34" t="s">
        <v>265</v>
      </c>
      <c r="D214" s="52"/>
      <c r="E214" s="17">
        <v>1907.89</v>
      </c>
      <c r="F214" s="224"/>
      <c r="G214" s="17"/>
      <c r="H214" s="17">
        <f t="shared" si="155"/>
        <v>0</v>
      </c>
      <c r="I214" s="17"/>
      <c r="J214" s="17">
        <f t="shared" si="156"/>
        <v>0</v>
      </c>
      <c r="K214" s="17"/>
      <c r="L214" s="226"/>
      <c r="M214" s="335" t="e">
        <f t="shared" si="148"/>
        <v>#DIV/0!</v>
      </c>
      <c r="N214" s="329">
        <f t="shared" si="139"/>
        <v>0</v>
      </c>
    </row>
    <row r="215" spans="1:14" ht="14.1" customHeight="1">
      <c r="A215" s="45" t="s">
        <v>309</v>
      </c>
      <c r="B215" s="46"/>
      <c r="C215" s="47" t="s">
        <v>310</v>
      </c>
      <c r="D215" s="53">
        <v>0</v>
      </c>
      <c r="E215" s="54">
        <v>323100</v>
      </c>
      <c r="F215" s="50">
        <f t="shared" ref="F215:L215" si="157">+F216</f>
        <v>437000</v>
      </c>
      <c r="G215" s="54">
        <f t="shared" si="157"/>
        <v>0</v>
      </c>
      <c r="H215" s="54">
        <f t="shared" si="157"/>
        <v>437000</v>
      </c>
      <c r="I215" s="54">
        <f t="shared" si="157"/>
        <v>216000</v>
      </c>
      <c r="J215" s="54">
        <f t="shared" si="157"/>
        <v>653000</v>
      </c>
      <c r="K215" s="54">
        <f t="shared" si="157"/>
        <v>526709</v>
      </c>
      <c r="L215" s="50">
        <f t="shared" si="157"/>
        <v>633000</v>
      </c>
      <c r="M215" s="335">
        <f t="shared" si="148"/>
        <v>-3.0627871362940276E-2</v>
      </c>
      <c r="N215" s="329">
        <f t="shared" si="139"/>
        <v>-20000</v>
      </c>
    </row>
    <row r="216" spans="1:14" ht="14.1" customHeight="1">
      <c r="A216" s="32"/>
      <c r="B216" s="33">
        <v>55</v>
      </c>
      <c r="C216" s="34" t="s">
        <v>213</v>
      </c>
      <c r="D216" s="53"/>
      <c r="E216" s="139">
        <v>323100</v>
      </c>
      <c r="F216" s="138">
        <f t="shared" ref="F216:H216" si="158">F217+F218</f>
        <v>437000</v>
      </c>
      <c r="G216" s="137">
        <f t="shared" si="158"/>
        <v>0</v>
      </c>
      <c r="H216" s="137">
        <f t="shared" si="158"/>
        <v>437000</v>
      </c>
      <c r="I216" s="137">
        <f t="shared" ref="I216:K216" si="159">I217+I218</f>
        <v>216000</v>
      </c>
      <c r="J216" s="137">
        <f t="shared" si="159"/>
        <v>653000</v>
      </c>
      <c r="K216" s="137">
        <f t="shared" si="159"/>
        <v>526709</v>
      </c>
      <c r="L216" s="138">
        <f t="shared" ref="L216" si="160">L217+L218</f>
        <v>633000</v>
      </c>
      <c r="M216" s="335">
        <f t="shared" si="148"/>
        <v>-3.0627871362940276E-2</v>
      </c>
      <c r="N216" s="329">
        <f t="shared" si="139"/>
        <v>-20000</v>
      </c>
    </row>
    <row r="217" spans="1:14" ht="14.1" customHeight="1">
      <c r="A217" s="32"/>
      <c r="B217" s="33">
        <v>5512</v>
      </c>
      <c r="C217" s="34" t="s">
        <v>311</v>
      </c>
      <c r="D217" s="53"/>
      <c r="E217" s="17">
        <v>75790</v>
      </c>
      <c r="F217" s="224">
        <v>87000</v>
      </c>
      <c r="G217" s="17"/>
      <c r="H217" s="17">
        <f t="shared" si="155"/>
        <v>87000</v>
      </c>
      <c r="I217" s="255">
        <v>16000</v>
      </c>
      <c r="J217" s="17">
        <f t="shared" ref="J217:J218" si="161">+I217+H217</f>
        <v>103000</v>
      </c>
      <c r="K217" s="17">
        <v>73158</v>
      </c>
      <c r="L217" s="226">
        <v>103000</v>
      </c>
      <c r="M217" s="335">
        <f t="shared" si="148"/>
        <v>0</v>
      </c>
      <c r="N217" s="329">
        <f t="shared" si="139"/>
        <v>0</v>
      </c>
    </row>
    <row r="218" spans="1:14" ht="14.1" customHeight="1">
      <c r="A218" s="32"/>
      <c r="B218" s="33" t="s">
        <v>305</v>
      </c>
      <c r="C218" s="34" t="s">
        <v>265</v>
      </c>
      <c r="D218" s="52"/>
      <c r="E218" s="17">
        <v>247310</v>
      </c>
      <c r="F218" s="224">
        <v>350000</v>
      </c>
      <c r="G218" s="17"/>
      <c r="H218" s="17">
        <f t="shared" si="155"/>
        <v>350000</v>
      </c>
      <c r="I218" s="255">
        <v>200000</v>
      </c>
      <c r="J218" s="17">
        <f t="shared" si="161"/>
        <v>550000</v>
      </c>
      <c r="K218" s="17">
        <v>453551</v>
      </c>
      <c r="L218" s="226">
        <v>530000</v>
      </c>
      <c r="M218" s="335">
        <f t="shared" si="148"/>
        <v>-3.6363636363636362E-2</v>
      </c>
      <c r="N218" s="329">
        <f t="shared" si="139"/>
        <v>-20000</v>
      </c>
    </row>
    <row r="219" spans="1:14" ht="14.1" customHeight="1">
      <c r="A219" s="45" t="s">
        <v>312</v>
      </c>
      <c r="B219" s="46"/>
      <c r="C219" s="47" t="s">
        <v>313</v>
      </c>
      <c r="D219" s="53">
        <v>10000</v>
      </c>
      <c r="E219" s="50">
        <v>2225</v>
      </c>
      <c r="F219" s="50">
        <f t="shared" ref="F219" si="162">+F220+F221+F227</f>
        <v>9025</v>
      </c>
      <c r="G219" s="50">
        <f t="shared" ref="G219:H219" si="163">+G220+G221+G227</f>
        <v>0</v>
      </c>
      <c r="H219" s="50">
        <f t="shared" si="163"/>
        <v>9025</v>
      </c>
      <c r="I219" s="50">
        <f t="shared" ref="I219:J219" si="164">+I220+I221+I227</f>
        <v>0</v>
      </c>
      <c r="J219" s="50">
        <f t="shared" si="164"/>
        <v>9025</v>
      </c>
      <c r="K219" s="50">
        <f t="shared" ref="K219" si="165">+K220+K221+K227</f>
        <v>3072</v>
      </c>
      <c r="L219" s="50">
        <f>+L220+L221+L227</f>
        <v>7000</v>
      </c>
      <c r="M219" s="335">
        <f t="shared" si="148"/>
        <v>-0.22437673130193905</v>
      </c>
      <c r="N219" s="329">
        <f t="shared" si="139"/>
        <v>-2025</v>
      </c>
    </row>
    <row r="220" spans="1:14" ht="14.1" customHeight="1">
      <c r="A220" s="32"/>
      <c r="B220" s="38" t="s">
        <v>210</v>
      </c>
      <c r="C220" s="39" t="s">
        <v>211</v>
      </c>
      <c r="D220" s="52">
        <v>4500</v>
      </c>
      <c r="E220" s="143">
        <v>700</v>
      </c>
      <c r="F220" s="197">
        <v>3000</v>
      </c>
      <c r="G220" s="143"/>
      <c r="H220" s="143">
        <f t="shared" ref="H220" si="166">+G220+F220</f>
        <v>3000</v>
      </c>
      <c r="I220" s="143"/>
      <c r="J220" s="143">
        <f t="shared" ref="J220" si="167">+I220+H220</f>
        <v>3000</v>
      </c>
      <c r="K220" s="143">
        <v>0</v>
      </c>
      <c r="L220" s="197">
        <v>1000</v>
      </c>
      <c r="M220" s="335">
        <f t="shared" si="148"/>
        <v>-0.66666666666666663</v>
      </c>
      <c r="N220" s="329">
        <f t="shared" si="139"/>
        <v>-2000</v>
      </c>
    </row>
    <row r="221" spans="1:14" ht="12.6">
      <c r="A221" s="32"/>
      <c r="B221" s="38" t="s">
        <v>212</v>
      </c>
      <c r="C221" s="39" t="s">
        <v>213</v>
      </c>
      <c r="D221" s="52">
        <v>5500</v>
      </c>
      <c r="E221" s="137">
        <v>1500</v>
      </c>
      <c r="F221" s="138">
        <f>SUM(F222:F226)</f>
        <v>6000</v>
      </c>
      <c r="G221" s="138">
        <f t="shared" ref="G221:H221" si="168">SUM(G222:G226)</f>
        <v>0</v>
      </c>
      <c r="H221" s="138">
        <f t="shared" si="168"/>
        <v>6000</v>
      </c>
      <c r="I221" s="138">
        <f t="shared" ref="I221:K221" si="169">SUM(I222:I226)</f>
        <v>0</v>
      </c>
      <c r="J221" s="138">
        <f t="shared" si="169"/>
        <v>6000</v>
      </c>
      <c r="K221" s="138">
        <f t="shared" si="169"/>
        <v>3072</v>
      </c>
      <c r="L221" s="138">
        <f>SUM(L222:L226)</f>
        <v>5975</v>
      </c>
      <c r="M221" s="335">
        <f t="shared" si="148"/>
        <v>-4.1666666666666666E-3</v>
      </c>
      <c r="N221" s="329">
        <f t="shared" si="139"/>
        <v>-25</v>
      </c>
    </row>
    <row r="222" spans="1:14" ht="12.6">
      <c r="A222" s="32"/>
      <c r="B222" s="33">
        <v>5500</v>
      </c>
      <c r="C222" s="34" t="s">
        <v>295</v>
      </c>
      <c r="D222" s="52">
        <v>0</v>
      </c>
      <c r="E222" s="17">
        <v>0</v>
      </c>
      <c r="F222" s="224">
        <v>0</v>
      </c>
      <c r="G222" s="17"/>
      <c r="H222" s="17">
        <f t="shared" ref="H222:H226" si="170">+G222+F222</f>
        <v>0</v>
      </c>
      <c r="I222" s="17"/>
      <c r="J222" s="17">
        <f t="shared" ref="J222:J226" si="171">+I222+H222</f>
        <v>0</v>
      </c>
      <c r="K222" s="17"/>
      <c r="L222" s="226"/>
      <c r="M222" s="335" t="e">
        <f t="shared" si="148"/>
        <v>#DIV/0!</v>
      </c>
      <c r="N222" s="329">
        <f t="shared" si="139"/>
        <v>0</v>
      </c>
    </row>
    <row r="223" spans="1:14" ht="12.6">
      <c r="A223" s="32"/>
      <c r="B223" s="33">
        <v>5512</v>
      </c>
      <c r="C223" s="58" t="s">
        <v>252</v>
      </c>
      <c r="D223" s="52">
        <v>0</v>
      </c>
      <c r="E223" s="17">
        <v>0</v>
      </c>
      <c r="F223" s="224">
        <v>0</v>
      </c>
      <c r="G223" s="17"/>
      <c r="H223" s="17">
        <f t="shared" si="170"/>
        <v>0</v>
      </c>
      <c r="I223" s="17"/>
      <c r="J223" s="17">
        <f t="shared" si="171"/>
        <v>0</v>
      </c>
      <c r="K223" s="17"/>
      <c r="L223" s="226"/>
      <c r="M223" s="335" t="e">
        <f t="shared" si="148"/>
        <v>#DIV/0!</v>
      </c>
      <c r="N223" s="329">
        <f t="shared" si="139"/>
        <v>0</v>
      </c>
    </row>
    <row r="224" spans="1:14" ht="12.6">
      <c r="A224" s="32"/>
      <c r="B224" s="33">
        <v>5513</v>
      </c>
      <c r="C224" s="43" t="s">
        <v>254</v>
      </c>
      <c r="D224" s="52">
        <v>5500</v>
      </c>
      <c r="E224" s="17">
        <v>1500</v>
      </c>
      <c r="F224" s="224">
        <v>2500</v>
      </c>
      <c r="G224" s="17"/>
      <c r="H224" s="17">
        <f t="shared" si="170"/>
        <v>2500</v>
      </c>
      <c r="I224" s="17"/>
      <c r="J224" s="17">
        <f t="shared" si="171"/>
        <v>2500</v>
      </c>
      <c r="K224" s="17">
        <v>267</v>
      </c>
      <c r="L224" s="226">
        <v>2475</v>
      </c>
      <c r="M224" s="335">
        <f t="shared" si="148"/>
        <v>-0.01</v>
      </c>
      <c r="N224" s="329">
        <f t="shared" si="139"/>
        <v>-25</v>
      </c>
    </row>
    <row r="225" spans="1:14" ht="12.6">
      <c r="A225" s="32"/>
      <c r="B225" s="33">
        <v>5515</v>
      </c>
      <c r="C225" s="34" t="s">
        <v>257</v>
      </c>
      <c r="D225" s="52">
        <v>0</v>
      </c>
      <c r="E225" s="17">
        <v>0</v>
      </c>
      <c r="F225" s="224">
        <v>0</v>
      </c>
      <c r="G225" s="17"/>
      <c r="H225" s="17">
        <f t="shared" si="170"/>
        <v>0</v>
      </c>
      <c r="I225" s="17"/>
      <c r="J225" s="17">
        <f t="shared" si="171"/>
        <v>0</v>
      </c>
      <c r="K225" s="17"/>
      <c r="L225" s="226">
        <v>0</v>
      </c>
      <c r="M225" s="335" t="e">
        <f t="shared" si="148"/>
        <v>#DIV/0!</v>
      </c>
      <c r="N225" s="329">
        <f t="shared" si="139"/>
        <v>0</v>
      </c>
    </row>
    <row r="226" spans="1:14" ht="12.6">
      <c r="A226" s="32"/>
      <c r="B226" s="33">
        <v>5540</v>
      </c>
      <c r="C226" s="34" t="s">
        <v>265</v>
      </c>
      <c r="D226" s="52"/>
      <c r="E226" s="17"/>
      <c r="F226" s="224">
        <v>3500</v>
      </c>
      <c r="G226" s="17"/>
      <c r="H226" s="17">
        <f t="shared" si="170"/>
        <v>3500</v>
      </c>
      <c r="I226" s="17"/>
      <c r="J226" s="17">
        <f t="shared" si="171"/>
        <v>3500</v>
      </c>
      <c r="K226" s="17">
        <v>2805</v>
      </c>
      <c r="L226" s="226">
        <v>3500</v>
      </c>
      <c r="M226" s="335">
        <f t="shared" si="148"/>
        <v>0</v>
      </c>
      <c r="N226" s="329">
        <f t="shared" si="139"/>
        <v>0</v>
      </c>
    </row>
    <row r="227" spans="1:14" ht="14.1" customHeight="1">
      <c r="A227" s="32"/>
      <c r="B227" s="33">
        <v>6010</v>
      </c>
      <c r="C227" s="34" t="s">
        <v>314</v>
      </c>
      <c r="D227" s="52">
        <v>0</v>
      </c>
      <c r="E227" s="140">
        <v>25</v>
      </c>
      <c r="F227" s="200">
        <v>25</v>
      </c>
      <c r="G227" s="140"/>
      <c r="H227" s="140">
        <f>+F227+G227</f>
        <v>25</v>
      </c>
      <c r="I227" s="140"/>
      <c r="J227" s="140">
        <f>+H227+I227</f>
        <v>25</v>
      </c>
      <c r="K227" s="140">
        <v>0</v>
      </c>
      <c r="L227" s="200">
        <v>25</v>
      </c>
      <c r="M227" s="335">
        <f t="shared" si="148"/>
        <v>0</v>
      </c>
      <c r="N227" s="329">
        <f t="shared" si="139"/>
        <v>0</v>
      </c>
    </row>
    <row r="228" spans="1:14" ht="14.1" customHeight="1">
      <c r="A228" s="45" t="s">
        <v>315</v>
      </c>
      <c r="B228" s="46"/>
      <c r="C228" s="47" t="s">
        <v>316</v>
      </c>
      <c r="D228" s="53">
        <v>5100</v>
      </c>
      <c r="E228" s="54">
        <v>7950</v>
      </c>
      <c r="F228" s="50">
        <f>+F229+F230</f>
        <v>5401</v>
      </c>
      <c r="G228" s="54">
        <f t="shared" ref="G228:I228" si="172">+G229+G230</f>
        <v>0</v>
      </c>
      <c r="H228" s="54">
        <f>+H229+H230</f>
        <v>5401</v>
      </c>
      <c r="I228" s="54">
        <f t="shared" si="172"/>
        <v>0</v>
      </c>
      <c r="J228" s="54">
        <f>+J229+J230</f>
        <v>5401</v>
      </c>
      <c r="K228" s="54">
        <f>+K229+K230</f>
        <v>3822</v>
      </c>
      <c r="L228" s="50">
        <f>+L229+L230</f>
        <v>5500</v>
      </c>
      <c r="M228" s="335">
        <f t="shared" si="148"/>
        <v>1.8329938900203666E-2</v>
      </c>
      <c r="N228" s="329">
        <f t="shared" si="139"/>
        <v>99</v>
      </c>
    </row>
    <row r="229" spans="1:14" ht="14.1" customHeight="1">
      <c r="A229" s="32"/>
      <c r="B229" s="33">
        <v>4</v>
      </c>
      <c r="C229" s="34" t="s">
        <v>226</v>
      </c>
      <c r="D229" s="52">
        <v>4100</v>
      </c>
      <c r="E229" s="140">
        <v>3100</v>
      </c>
      <c r="F229" s="200">
        <v>2100</v>
      </c>
      <c r="G229" s="140"/>
      <c r="H229" s="140">
        <f>+G229+F229</f>
        <v>2100</v>
      </c>
      <c r="I229" s="140"/>
      <c r="J229" s="140">
        <f>+I229+H229</f>
        <v>2100</v>
      </c>
      <c r="K229" s="140">
        <v>1400</v>
      </c>
      <c r="L229" s="200">
        <v>2100</v>
      </c>
      <c r="M229" s="335">
        <f t="shared" si="148"/>
        <v>0</v>
      </c>
      <c r="N229" s="329">
        <f t="shared" si="139"/>
        <v>0</v>
      </c>
    </row>
    <row r="230" spans="1:14" ht="14.1" customHeight="1">
      <c r="A230" s="32"/>
      <c r="B230" s="33">
        <v>55</v>
      </c>
      <c r="C230" s="34" t="s">
        <v>213</v>
      </c>
      <c r="D230" s="52">
        <v>1000</v>
      </c>
      <c r="E230" s="137">
        <v>4850</v>
      </c>
      <c r="F230" s="138">
        <f>F231+F235</f>
        <v>3301</v>
      </c>
      <c r="G230" s="137">
        <f>G231+G235</f>
        <v>0</v>
      </c>
      <c r="H230" s="137">
        <f>+G230+F230</f>
        <v>3301</v>
      </c>
      <c r="I230" s="137">
        <f>I231+I235</f>
        <v>0</v>
      </c>
      <c r="J230" s="137">
        <f>J231+J235</f>
        <v>3301</v>
      </c>
      <c r="K230" s="137">
        <f>K231+K235</f>
        <v>2422</v>
      </c>
      <c r="L230" s="138">
        <f>L231+L235</f>
        <v>3400</v>
      </c>
      <c r="M230" s="335">
        <f t="shared" si="148"/>
        <v>2.9990911844895485E-2</v>
      </c>
      <c r="N230" s="329">
        <f t="shared" si="139"/>
        <v>99</v>
      </c>
    </row>
    <row r="231" spans="1:14" ht="14.1" customHeight="1">
      <c r="A231" s="32"/>
      <c r="B231" s="64">
        <v>5511</v>
      </c>
      <c r="C231" s="40" t="s">
        <v>219</v>
      </c>
      <c r="D231" s="52"/>
      <c r="E231" s="17"/>
      <c r="F231" s="17">
        <f>SUM(F232:F234)</f>
        <v>801</v>
      </c>
      <c r="G231" s="17">
        <f t="shared" ref="G231:H231" si="173">SUM(G232:G234)</f>
        <v>0</v>
      </c>
      <c r="H231" s="17">
        <f t="shared" si="173"/>
        <v>801</v>
      </c>
      <c r="I231" s="17">
        <f t="shared" ref="I231:K231" si="174">SUM(I232:I234)</f>
        <v>13</v>
      </c>
      <c r="J231" s="17">
        <f t="shared" si="174"/>
        <v>814</v>
      </c>
      <c r="K231" s="17">
        <f t="shared" si="174"/>
        <v>574</v>
      </c>
      <c r="L231" s="17">
        <f>SUM(L232:L234)</f>
        <v>820</v>
      </c>
      <c r="M231" s="335">
        <f t="shared" si="148"/>
        <v>7.3710073710073713E-3</v>
      </c>
      <c r="N231" s="329">
        <f t="shared" si="139"/>
        <v>6</v>
      </c>
    </row>
    <row r="232" spans="1:14" ht="14.1" customHeight="1">
      <c r="A232" s="32"/>
      <c r="B232" s="33"/>
      <c r="C232" s="146" t="s">
        <v>235</v>
      </c>
      <c r="D232" s="52"/>
      <c r="E232" s="147"/>
      <c r="F232" s="228">
        <v>720</v>
      </c>
      <c r="G232" s="70"/>
      <c r="H232" s="17">
        <f t="shared" ref="H232:H235" si="175">+G232+F232</f>
        <v>720</v>
      </c>
      <c r="I232" s="70"/>
      <c r="J232" s="147">
        <f t="shared" ref="J232:J235" si="176">+I232+H232</f>
        <v>720</v>
      </c>
      <c r="K232" s="147">
        <v>480</v>
      </c>
      <c r="L232" s="228">
        <v>720</v>
      </c>
      <c r="M232" s="335">
        <f t="shared" si="148"/>
        <v>0</v>
      </c>
      <c r="N232" s="329">
        <f t="shared" si="139"/>
        <v>0</v>
      </c>
    </row>
    <row r="233" spans="1:14" ht="14.1" customHeight="1">
      <c r="A233" s="32"/>
      <c r="B233" s="33"/>
      <c r="C233" s="146" t="s">
        <v>245</v>
      </c>
      <c r="D233" s="52"/>
      <c r="E233" s="147"/>
      <c r="F233" s="228"/>
      <c r="G233" s="70"/>
      <c r="H233" s="17">
        <f t="shared" si="175"/>
        <v>0</v>
      </c>
      <c r="I233" s="70"/>
      <c r="J233" s="147">
        <f t="shared" si="176"/>
        <v>0</v>
      </c>
      <c r="K233" s="147"/>
      <c r="L233" s="228"/>
      <c r="M233" s="335" t="e">
        <f t="shared" si="148"/>
        <v>#DIV/0!</v>
      </c>
      <c r="N233" s="329">
        <f t="shared" si="139"/>
        <v>0</v>
      </c>
    </row>
    <row r="234" spans="1:14" ht="14.1" customHeight="1">
      <c r="A234" s="32"/>
      <c r="B234" s="33"/>
      <c r="C234" s="156" t="s">
        <v>247</v>
      </c>
      <c r="D234" s="52"/>
      <c r="E234" s="147"/>
      <c r="F234" s="228">
        <v>81</v>
      </c>
      <c r="G234" s="70"/>
      <c r="H234" s="17">
        <f t="shared" si="175"/>
        <v>81</v>
      </c>
      <c r="I234" s="70">
        <v>13</v>
      </c>
      <c r="J234" s="147">
        <f t="shared" si="176"/>
        <v>94</v>
      </c>
      <c r="K234" s="147">
        <v>94</v>
      </c>
      <c r="L234" s="228">
        <v>100</v>
      </c>
      <c r="M234" s="335">
        <f t="shared" si="148"/>
        <v>6.3829787234042548E-2</v>
      </c>
      <c r="N234" s="329">
        <f t="shared" si="139"/>
        <v>6</v>
      </c>
    </row>
    <row r="235" spans="1:14" ht="14.1" customHeight="1">
      <c r="A235" s="32"/>
      <c r="B235" s="33">
        <v>5540</v>
      </c>
      <c r="C235" s="34" t="s">
        <v>317</v>
      </c>
      <c r="D235" s="52"/>
      <c r="E235" s="17"/>
      <c r="F235" s="226">
        <v>2500</v>
      </c>
      <c r="G235" s="17"/>
      <c r="H235" s="17">
        <f t="shared" si="175"/>
        <v>2500</v>
      </c>
      <c r="I235" s="17">
        <v>-13</v>
      </c>
      <c r="J235" s="17">
        <f t="shared" si="176"/>
        <v>2487</v>
      </c>
      <c r="K235" s="17">
        <v>1848</v>
      </c>
      <c r="L235" s="226">
        <v>2580</v>
      </c>
      <c r="M235" s="335">
        <f t="shared" si="148"/>
        <v>3.739445114595899E-2</v>
      </c>
      <c r="N235" s="329">
        <f t="shared" si="139"/>
        <v>93</v>
      </c>
    </row>
    <row r="236" spans="1:14" ht="14.1" customHeight="1">
      <c r="A236" s="45" t="s">
        <v>318</v>
      </c>
      <c r="B236" s="46" t="s">
        <v>319</v>
      </c>
      <c r="C236" s="47" t="s">
        <v>320</v>
      </c>
      <c r="D236" s="53"/>
      <c r="E236" s="54"/>
      <c r="F236" s="50">
        <f>+F237+F238</f>
        <v>0</v>
      </c>
      <c r="G236" s="54">
        <f t="shared" ref="G236:I236" si="177">+G237+G238</f>
        <v>0</v>
      </c>
      <c r="H236" s="54">
        <f>+H237+H238</f>
        <v>0</v>
      </c>
      <c r="I236" s="54">
        <f t="shared" si="177"/>
        <v>0</v>
      </c>
      <c r="J236" s="54">
        <f>+J237+J238</f>
        <v>0</v>
      </c>
      <c r="K236" s="50">
        <f>K237</f>
        <v>19016</v>
      </c>
      <c r="L236" s="50">
        <f>L237</f>
        <v>3000</v>
      </c>
      <c r="M236" s="335"/>
      <c r="N236" s="329">
        <f t="shared" si="139"/>
        <v>3000</v>
      </c>
    </row>
    <row r="237" spans="1:14" ht="14.1" customHeight="1">
      <c r="A237" s="32"/>
      <c r="B237" s="38" t="s">
        <v>212</v>
      </c>
      <c r="C237" s="39" t="s">
        <v>213</v>
      </c>
      <c r="D237" s="303"/>
      <c r="E237" s="137"/>
      <c r="F237" s="137"/>
      <c r="G237" s="137"/>
      <c r="H237" s="137"/>
      <c r="I237" s="137"/>
      <c r="J237" s="137"/>
      <c r="K237" s="137">
        <f>SUM(K238:K240)</f>
        <v>19016</v>
      </c>
      <c r="L237" s="137">
        <f>SUM(L238:L240)</f>
        <v>3000</v>
      </c>
      <c r="M237" s="335"/>
      <c r="N237" s="329">
        <f t="shared" si="139"/>
        <v>3000</v>
      </c>
    </row>
    <row r="238" spans="1:14" ht="14.1" customHeight="1">
      <c r="A238" s="32"/>
      <c r="B238" s="33">
        <v>5512</v>
      </c>
      <c r="C238" s="58" t="s">
        <v>252</v>
      </c>
      <c r="D238" s="52">
        <v>0</v>
      </c>
      <c r="E238" s="17">
        <v>0</v>
      </c>
      <c r="F238" s="224">
        <v>0</v>
      </c>
      <c r="G238" s="17"/>
      <c r="H238" s="17">
        <f t="shared" ref="H238" si="178">+G238+F238</f>
        <v>0</v>
      </c>
      <c r="I238" s="17"/>
      <c r="J238" s="17">
        <f t="shared" ref="J238" si="179">+I238+H238</f>
        <v>0</v>
      </c>
      <c r="K238" s="17">
        <v>12000</v>
      </c>
      <c r="L238" s="226">
        <v>3000</v>
      </c>
      <c r="M238" s="335"/>
      <c r="N238" s="329">
        <f t="shared" si="139"/>
        <v>3000</v>
      </c>
    </row>
    <row r="239" spans="1:14" ht="14.1" customHeight="1">
      <c r="A239" s="32"/>
      <c r="B239" s="33">
        <v>5515</v>
      </c>
      <c r="C239" s="34" t="s">
        <v>257</v>
      </c>
      <c r="D239" s="52"/>
      <c r="E239" s="17"/>
      <c r="F239" s="226"/>
      <c r="G239" s="17"/>
      <c r="H239" s="17"/>
      <c r="I239" s="17"/>
      <c r="J239" s="17"/>
      <c r="K239" s="17">
        <v>7016</v>
      </c>
      <c r="L239" s="226"/>
      <c r="M239" s="335"/>
      <c r="N239" s="329">
        <f t="shared" si="139"/>
        <v>0</v>
      </c>
    </row>
    <row r="240" spans="1:14" ht="14.1" customHeight="1">
      <c r="A240" s="32"/>
      <c r="B240" s="33">
        <v>5540</v>
      </c>
      <c r="C240" s="34" t="s">
        <v>317</v>
      </c>
      <c r="D240" s="52">
        <v>0</v>
      </c>
      <c r="E240" s="17"/>
      <c r="F240" s="226"/>
      <c r="G240" s="17"/>
      <c r="H240" s="17">
        <f t="shared" ref="H240" si="180">+G240+F240</f>
        <v>0</v>
      </c>
      <c r="I240" s="17"/>
      <c r="J240" s="17">
        <f t="shared" ref="J240" si="181">+I240+H240</f>
        <v>0</v>
      </c>
      <c r="K240" s="17"/>
      <c r="L240" s="226"/>
      <c r="M240" s="335"/>
      <c r="N240" s="329">
        <f t="shared" si="139"/>
        <v>0</v>
      </c>
    </row>
    <row r="241" spans="1:14" ht="14.1" customHeight="1">
      <c r="A241" s="45" t="s">
        <v>321</v>
      </c>
      <c r="B241" s="46"/>
      <c r="C241" s="47" t="s">
        <v>322</v>
      </c>
      <c r="D241" s="53">
        <v>199000</v>
      </c>
      <c r="E241" s="54">
        <v>190000</v>
      </c>
      <c r="F241" s="54">
        <f t="shared" ref="F241:H241" si="182">+F243+F242</f>
        <v>175000</v>
      </c>
      <c r="G241" s="54">
        <f t="shared" si="182"/>
        <v>-25000</v>
      </c>
      <c r="H241" s="54">
        <f t="shared" si="182"/>
        <v>150000</v>
      </c>
      <c r="I241" s="54">
        <f t="shared" ref="I241:J241" si="183">+I243+I242</f>
        <v>-20000</v>
      </c>
      <c r="J241" s="54">
        <f t="shared" si="183"/>
        <v>130000</v>
      </c>
      <c r="K241" s="54">
        <f t="shared" ref="K241:L241" si="184">+K243+K242</f>
        <v>76682.8</v>
      </c>
      <c r="L241" s="54">
        <f t="shared" si="184"/>
        <v>130000</v>
      </c>
      <c r="M241" s="335">
        <f t="shared" si="148"/>
        <v>0</v>
      </c>
      <c r="N241" s="329">
        <f t="shared" si="139"/>
        <v>0</v>
      </c>
    </row>
    <row r="242" spans="1:14" ht="14.1" customHeight="1">
      <c r="A242" s="32"/>
      <c r="B242" s="33">
        <v>4</v>
      </c>
      <c r="C242" s="34" t="s">
        <v>226</v>
      </c>
      <c r="D242" s="53"/>
      <c r="E242" s="140">
        <v>52000</v>
      </c>
      <c r="F242" s="200">
        <v>0</v>
      </c>
      <c r="G242" s="140"/>
      <c r="H242" s="140">
        <f>+G242+F242</f>
        <v>0</v>
      </c>
      <c r="I242" s="140"/>
      <c r="J242" s="140">
        <f>+I242+H242</f>
        <v>0</v>
      </c>
      <c r="K242" s="140"/>
      <c r="L242" s="200">
        <v>0</v>
      </c>
      <c r="M242" s="335" t="e">
        <f t="shared" si="148"/>
        <v>#DIV/0!</v>
      </c>
      <c r="N242" s="329">
        <f t="shared" si="139"/>
        <v>0</v>
      </c>
    </row>
    <row r="243" spans="1:14" ht="14.1" customHeight="1">
      <c r="A243" s="32"/>
      <c r="B243" s="33" t="s">
        <v>212</v>
      </c>
      <c r="C243" s="34" t="s">
        <v>323</v>
      </c>
      <c r="D243" s="52">
        <v>199000</v>
      </c>
      <c r="E243" s="137">
        <v>138000</v>
      </c>
      <c r="F243" s="137">
        <f t="shared" ref="F243" si="185">SUM(F244:F249)</f>
        <v>175000</v>
      </c>
      <c r="G243" s="137">
        <f t="shared" ref="G243:H243" si="186">SUM(G244:G249)</f>
        <v>-25000</v>
      </c>
      <c r="H243" s="137">
        <f t="shared" si="186"/>
        <v>150000</v>
      </c>
      <c r="I243" s="137">
        <f t="shared" ref="I243:L243" si="187">SUM(I244:I249)</f>
        <v>-20000</v>
      </c>
      <c r="J243" s="137">
        <f t="shared" si="187"/>
        <v>130000</v>
      </c>
      <c r="K243" s="137">
        <f t="shared" si="187"/>
        <v>76682.8</v>
      </c>
      <c r="L243" s="137">
        <f t="shared" si="187"/>
        <v>130000</v>
      </c>
      <c r="M243" s="335">
        <f t="shared" si="148"/>
        <v>0</v>
      </c>
      <c r="N243" s="329">
        <f t="shared" si="139"/>
        <v>0</v>
      </c>
    </row>
    <row r="244" spans="1:14" ht="13.5" customHeight="1">
      <c r="A244" s="32"/>
      <c r="B244" s="33">
        <v>5500</v>
      </c>
      <c r="C244" s="34" t="s">
        <v>227</v>
      </c>
      <c r="D244" s="52">
        <v>0</v>
      </c>
      <c r="E244" s="17">
        <v>2571</v>
      </c>
      <c r="F244" s="226"/>
      <c r="G244" s="17"/>
      <c r="H244" s="17">
        <f t="shared" ref="H244:H249" si="188">+G244+F244</f>
        <v>0</v>
      </c>
      <c r="I244" s="17"/>
      <c r="J244" s="17">
        <f t="shared" ref="J244:J249" si="189">+I244+H244</f>
        <v>0</v>
      </c>
      <c r="K244" s="17">
        <v>421</v>
      </c>
      <c r="L244" s="226">
        <v>1000</v>
      </c>
      <c r="M244" s="335" t="e">
        <f t="shared" si="148"/>
        <v>#DIV/0!</v>
      </c>
      <c r="N244" s="329">
        <f t="shared" si="139"/>
        <v>1000</v>
      </c>
    </row>
    <row r="245" spans="1:14" ht="12.95" customHeight="1">
      <c r="A245" s="32"/>
      <c r="B245" s="33">
        <v>5502</v>
      </c>
      <c r="C245" s="34" t="s">
        <v>324</v>
      </c>
      <c r="D245" s="52">
        <v>0</v>
      </c>
      <c r="E245" s="17">
        <v>134217</v>
      </c>
      <c r="F245" s="226">
        <f>150000+25000</f>
        <v>175000</v>
      </c>
      <c r="G245" s="17">
        <v>-25000</v>
      </c>
      <c r="H245" s="17">
        <f t="shared" si="188"/>
        <v>150000</v>
      </c>
      <c r="I245" s="94">
        <v>-20000</v>
      </c>
      <c r="J245" s="17">
        <f t="shared" si="189"/>
        <v>130000</v>
      </c>
      <c r="K245" s="17">
        <v>69754</v>
      </c>
      <c r="L245" s="226">
        <v>128000</v>
      </c>
      <c r="M245" s="335">
        <f t="shared" si="148"/>
        <v>-1.5384615384615385E-2</v>
      </c>
      <c r="N245" s="329">
        <f t="shared" si="139"/>
        <v>-2000</v>
      </c>
    </row>
    <row r="246" spans="1:14" ht="14.1" hidden="1" customHeight="1">
      <c r="A246" s="32"/>
      <c r="B246" s="33">
        <v>5511</v>
      </c>
      <c r="C246" s="34" t="s">
        <v>219</v>
      </c>
      <c r="D246" s="52">
        <v>0</v>
      </c>
      <c r="E246" s="17">
        <v>0</v>
      </c>
      <c r="F246" s="226"/>
      <c r="G246" s="17"/>
      <c r="H246" s="17">
        <f t="shared" si="188"/>
        <v>0</v>
      </c>
      <c r="I246" s="17"/>
      <c r="J246" s="17">
        <f t="shared" si="189"/>
        <v>0</v>
      </c>
      <c r="K246" s="17"/>
      <c r="L246" s="226"/>
      <c r="M246" s="335" t="e">
        <f t="shared" si="148"/>
        <v>#DIV/0!</v>
      </c>
      <c r="N246" s="329">
        <f t="shared" si="139"/>
        <v>0</v>
      </c>
    </row>
    <row r="247" spans="1:14" ht="14.1" hidden="1" customHeight="1">
      <c r="A247" s="32"/>
      <c r="B247" s="33">
        <v>5514</v>
      </c>
      <c r="C247" s="34" t="s">
        <v>221</v>
      </c>
      <c r="D247" s="52">
        <v>0</v>
      </c>
      <c r="E247" s="17">
        <v>0</v>
      </c>
      <c r="F247" s="226"/>
      <c r="G247" s="17"/>
      <c r="H247" s="17">
        <f t="shared" si="188"/>
        <v>0</v>
      </c>
      <c r="I247" s="17"/>
      <c r="J247" s="17">
        <f t="shared" si="189"/>
        <v>0</v>
      </c>
      <c r="K247" s="17"/>
      <c r="L247" s="226"/>
      <c r="M247" s="335" t="e">
        <f t="shared" si="148"/>
        <v>#DIV/0!</v>
      </c>
      <c r="N247" s="329">
        <f t="shared" si="139"/>
        <v>0</v>
      </c>
    </row>
    <row r="248" spans="1:14" ht="12.6">
      <c r="A248" s="32"/>
      <c r="B248" s="33">
        <v>5525</v>
      </c>
      <c r="C248" s="34" t="s">
        <v>264</v>
      </c>
      <c r="D248" s="52">
        <v>0</v>
      </c>
      <c r="E248" s="17">
        <v>0</v>
      </c>
      <c r="F248" s="226"/>
      <c r="G248" s="17"/>
      <c r="H248" s="17">
        <f t="shared" si="188"/>
        <v>0</v>
      </c>
      <c r="I248" s="17"/>
      <c r="J248" s="17">
        <f t="shared" si="189"/>
        <v>0</v>
      </c>
      <c r="K248" s="17">
        <v>4589</v>
      </c>
      <c r="L248" s="226">
        <v>1000</v>
      </c>
      <c r="M248" s="335" t="e">
        <f t="shared" si="148"/>
        <v>#DIV/0!</v>
      </c>
      <c r="N248" s="329">
        <f t="shared" si="139"/>
        <v>1000</v>
      </c>
    </row>
    <row r="249" spans="1:14" ht="14.1" customHeight="1">
      <c r="A249" s="32"/>
      <c r="B249" s="33">
        <v>5540</v>
      </c>
      <c r="C249" s="34" t="s">
        <v>317</v>
      </c>
      <c r="D249" s="52">
        <v>0</v>
      </c>
      <c r="E249" s="17">
        <v>1212</v>
      </c>
      <c r="F249" s="226"/>
      <c r="G249" s="17"/>
      <c r="H249" s="17">
        <f t="shared" si="188"/>
        <v>0</v>
      </c>
      <c r="I249" s="17"/>
      <c r="J249" s="17">
        <f t="shared" si="189"/>
        <v>0</v>
      </c>
      <c r="K249" s="17">
        <v>1918.8</v>
      </c>
      <c r="L249" s="226"/>
      <c r="M249" s="335" t="e">
        <f t="shared" si="148"/>
        <v>#DIV/0!</v>
      </c>
      <c r="N249" s="329">
        <f t="shared" si="139"/>
        <v>0</v>
      </c>
    </row>
    <row r="250" spans="1:14" s="2" customFormat="1" ht="14.1" customHeight="1">
      <c r="A250" s="45" t="s">
        <v>325</v>
      </c>
      <c r="B250" s="46"/>
      <c r="C250" s="47" t="s">
        <v>326</v>
      </c>
      <c r="D250" s="53">
        <v>482526.4</v>
      </c>
      <c r="E250" s="54">
        <v>658683</v>
      </c>
      <c r="F250" s="54">
        <f t="shared" ref="F250" si="190">+F251+F252</f>
        <v>820028</v>
      </c>
      <c r="G250" s="54">
        <f t="shared" ref="G250" si="191">+G251+G252</f>
        <v>500</v>
      </c>
      <c r="H250" s="54">
        <f>+H251+H252</f>
        <v>820528</v>
      </c>
      <c r="I250" s="54">
        <f t="shared" ref="I250:J250" si="192">+I251+I252</f>
        <v>-16150</v>
      </c>
      <c r="J250" s="54">
        <f t="shared" si="192"/>
        <v>804378</v>
      </c>
      <c r="K250" s="54">
        <f t="shared" ref="K250:L250" si="193">+K251+K252</f>
        <v>618481</v>
      </c>
      <c r="L250" s="54">
        <f t="shared" si="193"/>
        <v>845000</v>
      </c>
      <c r="M250" s="335">
        <f t="shared" si="148"/>
        <v>5.0501132552108585E-2</v>
      </c>
      <c r="N250" s="329">
        <f t="shared" si="139"/>
        <v>40622</v>
      </c>
    </row>
    <row r="251" spans="1:14" s="6" customFormat="1" ht="14.1" customHeight="1">
      <c r="A251" s="59"/>
      <c r="B251" s="60">
        <v>50</v>
      </c>
      <c r="C251" s="61" t="s">
        <v>211</v>
      </c>
      <c r="D251" s="52">
        <v>374386.4</v>
      </c>
      <c r="E251" s="143">
        <v>555196</v>
      </c>
      <c r="F251" s="143">
        <v>717651</v>
      </c>
      <c r="G251" s="143"/>
      <c r="H251" s="143">
        <f t="shared" ref="H251" si="194">+G251+F251</f>
        <v>717651</v>
      </c>
      <c r="I251" s="152">
        <f>-20000+5150</f>
        <v>-14850</v>
      </c>
      <c r="J251" s="143">
        <f t="shared" ref="J251" si="195">+I251+H251</f>
        <v>702801</v>
      </c>
      <c r="K251" s="143">
        <v>535214</v>
      </c>
      <c r="L251" s="152">
        <v>700000</v>
      </c>
      <c r="M251" s="335">
        <f t="shared" si="148"/>
        <v>-3.9854809540680793E-3</v>
      </c>
      <c r="N251" s="329">
        <f t="shared" si="139"/>
        <v>-2801</v>
      </c>
    </row>
    <row r="252" spans="1:14" ht="14.1" customHeight="1">
      <c r="A252" s="32"/>
      <c r="B252" s="38">
        <v>55</v>
      </c>
      <c r="C252" s="39" t="s">
        <v>213</v>
      </c>
      <c r="D252" s="52">
        <v>108140</v>
      </c>
      <c r="E252" s="137">
        <v>103487</v>
      </c>
      <c r="F252" s="137">
        <f t="shared" ref="F252:G252" si="196">+F253+F255+F256+F257+F268+F269+F270+F271+F273+F276+F274+F254+F275</f>
        <v>102377</v>
      </c>
      <c r="G252" s="137">
        <f t="shared" si="196"/>
        <v>500</v>
      </c>
      <c r="H252" s="137">
        <f>+H253+H255+H256+H257+H268+H269+H270+H271+H273+H276+H274+H254+H275</f>
        <v>102877</v>
      </c>
      <c r="I252" s="137">
        <f t="shared" ref="I252:K252" si="197">+I253+I255+I256+I257+I268+I269+I270+I271+I273+I276+I274+I254+I275</f>
        <v>-1300</v>
      </c>
      <c r="J252" s="137">
        <f t="shared" si="197"/>
        <v>101577</v>
      </c>
      <c r="K252" s="137">
        <f t="shared" si="197"/>
        <v>83267</v>
      </c>
      <c r="L252" s="137">
        <f>+L253+L255+L256+L257+L268+L269+L270+L271+L273+L276+L274+L254+L275+L272</f>
        <v>145000</v>
      </c>
      <c r="M252" s="335">
        <f>(L252-J252)/J252</f>
        <v>0.42748850625633755</v>
      </c>
      <c r="N252" s="329">
        <f t="shared" si="139"/>
        <v>43423</v>
      </c>
    </row>
    <row r="253" spans="1:14" ht="13.5" customHeight="1">
      <c r="A253" s="32"/>
      <c r="B253" s="33">
        <v>5500</v>
      </c>
      <c r="C253" s="34" t="s">
        <v>327</v>
      </c>
      <c r="D253" s="52">
        <v>18660</v>
      </c>
      <c r="E253" s="17">
        <v>5000</v>
      </c>
      <c r="F253" s="226">
        <v>10800</v>
      </c>
      <c r="G253" s="17">
        <v>-1800</v>
      </c>
      <c r="H253" s="17">
        <f t="shared" ref="H253:H275" si="198">+G253+F253</f>
        <v>9000</v>
      </c>
      <c r="I253" s="17"/>
      <c r="J253" s="17">
        <f t="shared" ref="J253:J256" si="199">+I253+H253</f>
        <v>9000</v>
      </c>
      <c r="K253" s="17">
        <v>7537</v>
      </c>
      <c r="L253" s="226">
        <v>39800</v>
      </c>
      <c r="M253" s="335">
        <f t="shared" si="148"/>
        <v>3.4222222222222221</v>
      </c>
      <c r="N253" s="329">
        <f t="shared" si="139"/>
        <v>30800</v>
      </c>
    </row>
    <row r="254" spans="1:14" ht="14.1" hidden="1" customHeight="1">
      <c r="A254" s="32"/>
      <c r="B254" s="33">
        <v>5502</v>
      </c>
      <c r="C254" s="34" t="s">
        <v>324</v>
      </c>
      <c r="D254" s="52"/>
      <c r="E254" s="17">
        <v>16800</v>
      </c>
      <c r="F254" s="226"/>
      <c r="G254" s="17"/>
      <c r="H254" s="17">
        <f t="shared" si="198"/>
        <v>0</v>
      </c>
      <c r="I254" s="17"/>
      <c r="J254" s="17">
        <f t="shared" si="199"/>
        <v>0</v>
      </c>
      <c r="K254" s="17"/>
      <c r="L254" s="226"/>
      <c r="M254" s="335" t="e">
        <f t="shared" si="148"/>
        <v>#DIV/0!</v>
      </c>
      <c r="N254" s="329">
        <f t="shared" si="139"/>
        <v>0</v>
      </c>
    </row>
    <row r="255" spans="1:14" ht="14.1" customHeight="1">
      <c r="A255" s="32"/>
      <c r="B255" s="33">
        <v>5503</v>
      </c>
      <c r="C255" s="34" t="s">
        <v>216</v>
      </c>
      <c r="D255" s="52">
        <v>0</v>
      </c>
      <c r="E255" s="17">
        <v>3832</v>
      </c>
      <c r="F255" s="226">
        <v>3000</v>
      </c>
      <c r="G255" s="17"/>
      <c r="H255" s="17">
        <f t="shared" si="198"/>
        <v>3000</v>
      </c>
      <c r="I255" s="17">
        <v>5000</v>
      </c>
      <c r="J255" s="17">
        <f t="shared" si="199"/>
        <v>8000</v>
      </c>
      <c r="K255" s="17">
        <v>1876</v>
      </c>
      <c r="L255" s="226"/>
      <c r="M255" s="335">
        <f t="shared" si="148"/>
        <v>-1</v>
      </c>
      <c r="N255" s="329">
        <f t="shared" si="139"/>
        <v>-8000</v>
      </c>
    </row>
    <row r="256" spans="1:14" ht="14.1" customHeight="1">
      <c r="A256" s="32"/>
      <c r="B256" s="33">
        <v>5504</v>
      </c>
      <c r="C256" s="34" t="s">
        <v>230</v>
      </c>
      <c r="D256" s="52">
        <v>5000</v>
      </c>
      <c r="E256" s="17">
        <v>17000</v>
      </c>
      <c r="F256" s="226">
        <v>5700</v>
      </c>
      <c r="G256" s="17"/>
      <c r="H256" s="17">
        <f t="shared" si="198"/>
        <v>5700</v>
      </c>
      <c r="I256" s="17"/>
      <c r="J256" s="17">
        <f t="shared" si="199"/>
        <v>5700</v>
      </c>
      <c r="K256" s="17">
        <v>9906</v>
      </c>
      <c r="L256" s="226">
        <v>8000</v>
      </c>
      <c r="M256" s="335">
        <f t="shared" si="148"/>
        <v>0.40350877192982454</v>
      </c>
      <c r="N256" s="329">
        <f t="shared" si="139"/>
        <v>2300</v>
      </c>
    </row>
    <row r="257" spans="1:14" ht="14.1" customHeight="1">
      <c r="A257" s="32"/>
      <c r="B257" s="33">
        <v>5511</v>
      </c>
      <c r="C257" s="34" t="s">
        <v>328</v>
      </c>
      <c r="D257" s="52">
        <v>31880</v>
      </c>
      <c r="E257" s="17">
        <v>10000</v>
      </c>
      <c r="F257" s="226">
        <f t="shared" ref="F257:K257" si="200">SUM(F258:F267)</f>
        <v>14577</v>
      </c>
      <c r="G257" s="17">
        <f t="shared" si="200"/>
        <v>0</v>
      </c>
      <c r="H257" s="17">
        <f t="shared" si="200"/>
        <v>14577</v>
      </c>
      <c r="I257" s="17">
        <f t="shared" si="200"/>
        <v>0</v>
      </c>
      <c r="J257" s="17">
        <f t="shared" si="200"/>
        <v>14577</v>
      </c>
      <c r="K257" s="17">
        <f t="shared" si="200"/>
        <v>8574</v>
      </c>
      <c r="L257" s="226">
        <f>SUM(L258:L267)</f>
        <v>9000</v>
      </c>
      <c r="M257" s="335">
        <f t="shared" si="148"/>
        <v>-0.38258901008437951</v>
      </c>
      <c r="N257" s="329">
        <f t="shared" si="139"/>
        <v>-5577</v>
      </c>
    </row>
    <row r="258" spans="1:14" ht="14.1" customHeight="1">
      <c r="A258" s="176"/>
      <c r="B258" s="177"/>
      <c r="C258" s="178" t="s">
        <v>233</v>
      </c>
      <c r="D258" s="183"/>
      <c r="E258" s="184">
        <v>0</v>
      </c>
      <c r="F258" s="227">
        <v>1800</v>
      </c>
      <c r="G258" s="182"/>
      <c r="H258" s="182">
        <f t="shared" si="198"/>
        <v>1800</v>
      </c>
      <c r="I258" s="182"/>
      <c r="J258" s="182">
        <f t="shared" ref="J258:J276" si="201">+I258+H258</f>
        <v>1800</v>
      </c>
      <c r="K258" s="182">
        <v>822</v>
      </c>
      <c r="L258" s="227">
        <v>1500</v>
      </c>
      <c r="M258" s="335">
        <f t="shared" si="148"/>
        <v>-0.16666666666666666</v>
      </c>
      <c r="N258" s="329">
        <f t="shared" si="139"/>
        <v>-300</v>
      </c>
    </row>
    <row r="259" spans="1:14" s="142" customFormat="1" ht="14.1" customHeight="1">
      <c r="A259" s="176"/>
      <c r="B259" s="177"/>
      <c r="C259" s="178" t="s">
        <v>235</v>
      </c>
      <c r="D259" s="202">
        <v>0</v>
      </c>
      <c r="E259" s="182">
        <v>2000</v>
      </c>
      <c r="F259" s="227">
        <v>5000</v>
      </c>
      <c r="G259" s="182">
        <v>-360</v>
      </c>
      <c r="H259" s="182">
        <f t="shared" si="198"/>
        <v>4640</v>
      </c>
      <c r="I259" s="182"/>
      <c r="J259" s="182">
        <f t="shared" si="201"/>
        <v>4640</v>
      </c>
      <c r="K259" s="182">
        <v>3095</v>
      </c>
      <c r="L259" s="227">
        <v>5000</v>
      </c>
      <c r="M259" s="335">
        <f t="shared" si="148"/>
        <v>7.7586206896551727E-2</v>
      </c>
      <c r="N259" s="329">
        <f t="shared" si="139"/>
        <v>360</v>
      </c>
    </row>
    <row r="260" spans="1:14" s="142" customFormat="1" ht="14.1" customHeight="1">
      <c r="A260" s="176"/>
      <c r="B260" s="177"/>
      <c r="C260" s="178" t="s">
        <v>237</v>
      </c>
      <c r="D260" s="202">
        <v>0</v>
      </c>
      <c r="E260" s="182">
        <v>0</v>
      </c>
      <c r="F260" s="227">
        <v>70</v>
      </c>
      <c r="G260" s="182"/>
      <c r="H260" s="182">
        <f t="shared" si="198"/>
        <v>70</v>
      </c>
      <c r="I260" s="182">
        <v>-28</v>
      </c>
      <c r="J260" s="182">
        <f t="shared" si="201"/>
        <v>42</v>
      </c>
      <c r="K260" s="182">
        <v>78</v>
      </c>
      <c r="L260" s="227">
        <v>100</v>
      </c>
      <c r="M260" s="335">
        <f t="shared" si="148"/>
        <v>1.3809523809523809</v>
      </c>
      <c r="N260" s="329">
        <f t="shared" si="139"/>
        <v>58</v>
      </c>
    </row>
    <row r="261" spans="1:14" s="142" customFormat="1" ht="14.1" customHeight="1">
      <c r="A261" s="176"/>
      <c r="B261" s="177"/>
      <c r="C261" s="178" t="s">
        <v>239</v>
      </c>
      <c r="D261" s="202">
        <v>11880</v>
      </c>
      <c r="E261" s="182">
        <v>7000</v>
      </c>
      <c r="F261" s="227">
        <v>5000</v>
      </c>
      <c r="G261" s="182"/>
      <c r="H261" s="182">
        <f t="shared" si="198"/>
        <v>5000</v>
      </c>
      <c r="I261" s="182"/>
      <c r="J261" s="182">
        <f t="shared" si="201"/>
        <v>5000</v>
      </c>
      <c r="K261" s="182">
        <v>1618</v>
      </c>
      <c r="L261" s="227">
        <v>1500</v>
      </c>
      <c r="M261" s="335">
        <f t="shared" si="148"/>
        <v>-0.7</v>
      </c>
      <c r="N261" s="329">
        <f t="shared" si="139"/>
        <v>-3500</v>
      </c>
    </row>
    <row r="262" spans="1:14" s="142" customFormat="1" ht="14.1" customHeight="1">
      <c r="A262" s="176"/>
      <c r="B262" s="177"/>
      <c r="C262" s="178" t="s">
        <v>241</v>
      </c>
      <c r="D262" s="178">
        <v>0</v>
      </c>
      <c r="E262" s="182">
        <v>1000</v>
      </c>
      <c r="F262" s="227">
        <v>0</v>
      </c>
      <c r="G262" s="182"/>
      <c r="H262" s="182">
        <f t="shared" si="198"/>
        <v>0</v>
      </c>
      <c r="I262" s="182"/>
      <c r="J262" s="182">
        <f t="shared" si="201"/>
        <v>0</v>
      </c>
      <c r="K262" s="182"/>
      <c r="L262" s="227"/>
      <c r="M262" s="335" t="e">
        <f t="shared" si="148"/>
        <v>#DIV/0!</v>
      </c>
      <c r="N262" s="329">
        <f t="shared" ref="N262:N325" si="202">L262-J262</f>
        <v>0</v>
      </c>
    </row>
    <row r="263" spans="1:14" s="142" customFormat="1" ht="14.1" customHeight="1">
      <c r="A263" s="176"/>
      <c r="B263" s="177"/>
      <c r="C263" s="178" t="s">
        <v>329</v>
      </c>
      <c r="D263" s="179">
        <v>0</v>
      </c>
      <c r="E263" s="182">
        <v>0</v>
      </c>
      <c r="F263" s="227">
        <v>0</v>
      </c>
      <c r="G263" s="243">
        <v>360</v>
      </c>
      <c r="H263" s="182">
        <f t="shared" si="198"/>
        <v>360</v>
      </c>
      <c r="I263" s="182"/>
      <c r="J263" s="182">
        <f t="shared" si="201"/>
        <v>360</v>
      </c>
      <c r="K263" s="182">
        <v>377</v>
      </c>
      <c r="L263" s="227">
        <v>400</v>
      </c>
      <c r="M263" s="335">
        <f t="shared" si="148"/>
        <v>0.1111111111111111</v>
      </c>
      <c r="N263" s="329">
        <f t="shared" si="202"/>
        <v>40</v>
      </c>
    </row>
    <row r="264" spans="1:14" s="142" customFormat="1" ht="14.1" customHeight="1">
      <c r="A264" s="176"/>
      <c r="B264" s="177"/>
      <c r="C264" s="178" t="s">
        <v>245</v>
      </c>
      <c r="D264" s="179">
        <v>20000</v>
      </c>
      <c r="E264" s="182">
        <v>0</v>
      </c>
      <c r="F264" s="227">
        <v>2500</v>
      </c>
      <c r="G264" s="182"/>
      <c r="H264" s="182">
        <f t="shared" si="198"/>
        <v>2500</v>
      </c>
      <c r="I264" s="182"/>
      <c r="J264" s="182">
        <f t="shared" si="201"/>
        <v>2500</v>
      </c>
      <c r="K264" s="182">
        <v>2130</v>
      </c>
      <c r="L264" s="227">
        <v>0</v>
      </c>
      <c r="M264" s="335">
        <f t="shared" si="148"/>
        <v>-1</v>
      </c>
      <c r="N264" s="329">
        <f t="shared" si="202"/>
        <v>-2500</v>
      </c>
    </row>
    <row r="265" spans="1:14" s="142" customFormat="1" ht="14.1" customHeight="1">
      <c r="A265" s="176"/>
      <c r="B265" s="177"/>
      <c r="C265" s="178" t="s">
        <v>330</v>
      </c>
      <c r="D265" s="179"/>
      <c r="E265" s="182"/>
      <c r="F265" s="227"/>
      <c r="G265" s="182"/>
      <c r="H265" s="182"/>
      <c r="I265" s="182"/>
      <c r="J265" s="182"/>
      <c r="K265" s="182"/>
      <c r="L265" s="227">
        <v>0</v>
      </c>
      <c r="M265" s="335"/>
      <c r="N265" s="329">
        <f t="shared" si="202"/>
        <v>0</v>
      </c>
    </row>
    <row r="266" spans="1:14" s="142" customFormat="1" ht="14.1" customHeight="1">
      <c r="A266" s="176"/>
      <c r="B266" s="177"/>
      <c r="C266" s="178" t="s">
        <v>331</v>
      </c>
      <c r="D266" s="179"/>
      <c r="E266" s="182">
        <v>0</v>
      </c>
      <c r="F266" s="227">
        <v>207</v>
      </c>
      <c r="G266" s="182"/>
      <c r="H266" s="182">
        <f t="shared" si="198"/>
        <v>207</v>
      </c>
      <c r="I266" s="182">
        <v>28</v>
      </c>
      <c r="J266" s="182">
        <f t="shared" si="201"/>
        <v>235</v>
      </c>
      <c r="K266" s="182">
        <v>379</v>
      </c>
      <c r="L266" s="227">
        <v>400</v>
      </c>
      <c r="M266" s="335">
        <f t="shared" si="148"/>
        <v>0.7021276595744681</v>
      </c>
      <c r="N266" s="329">
        <f t="shared" si="202"/>
        <v>165</v>
      </c>
    </row>
    <row r="267" spans="1:14" s="142" customFormat="1" ht="14.1" customHeight="1">
      <c r="A267" s="176"/>
      <c r="B267" s="177"/>
      <c r="C267" s="178" t="s">
        <v>332</v>
      </c>
      <c r="D267" s="179">
        <v>0</v>
      </c>
      <c r="E267" s="182">
        <v>0</v>
      </c>
      <c r="F267" s="227">
        <v>0</v>
      </c>
      <c r="G267" s="182"/>
      <c r="H267" s="182">
        <f t="shared" si="198"/>
        <v>0</v>
      </c>
      <c r="I267" s="182"/>
      <c r="J267" s="182">
        <f t="shared" si="201"/>
        <v>0</v>
      </c>
      <c r="K267" s="182">
        <v>75</v>
      </c>
      <c r="L267" s="227">
        <v>100</v>
      </c>
      <c r="M267" s="335" t="e">
        <f t="shared" si="148"/>
        <v>#DIV/0!</v>
      </c>
      <c r="N267" s="329">
        <f t="shared" si="202"/>
        <v>100</v>
      </c>
    </row>
    <row r="268" spans="1:14" ht="14.1" customHeight="1">
      <c r="A268" s="32"/>
      <c r="B268" s="33">
        <v>5512</v>
      </c>
      <c r="C268" s="34" t="s">
        <v>311</v>
      </c>
      <c r="D268" s="108">
        <v>0</v>
      </c>
      <c r="E268" s="17">
        <v>272</v>
      </c>
      <c r="F268" s="226">
        <v>300</v>
      </c>
      <c r="G268" s="17"/>
      <c r="H268" s="17">
        <f t="shared" si="198"/>
        <v>300</v>
      </c>
      <c r="I268" s="17">
        <v>-300</v>
      </c>
      <c r="J268" s="17">
        <f t="shared" si="201"/>
        <v>0</v>
      </c>
      <c r="K268" s="17">
        <v>2247</v>
      </c>
      <c r="L268" s="226">
        <v>2000</v>
      </c>
      <c r="M268" s="335" t="e">
        <f t="shared" si="148"/>
        <v>#DIV/0!</v>
      </c>
      <c r="N268" s="329">
        <f t="shared" si="202"/>
        <v>2000</v>
      </c>
    </row>
    <row r="269" spans="1:14" ht="14.1" customHeight="1">
      <c r="A269" s="32"/>
      <c r="B269" s="33">
        <v>5513</v>
      </c>
      <c r="C269" s="34" t="s">
        <v>254</v>
      </c>
      <c r="D269" s="52">
        <v>16700</v>
      </c>
      <c r="E269" s="17">
        <v>24700</v>
      </c>
      <c r="F269" s="226">
        <v>17000</v>
      </c>
      <c r="G269" s="17">
        <v>5000</v>
      </c>
      <c r="H269" s="17">
        <f t="shared" si="198"/>
        <v>22000</v>
      </c>
      <c r="I269" s="17">
        <v>6000</v>
      </c>
      <c r="J269" s="17">
        <f t="shared" si="201"/>
        <v>28000</v>
      </c>
      <c r="K269" s="17">
        <v>21625</v>
      </c>
      <c r="L269" s="226">
        <v>30000</v>
      </c>
      <c r="M269" s="335">
        <f t="shared" si="148"/>
        <v>7.1428571428571425E-2</v>
      </c>
      <c r="N269" s="329">
        <f t="shared" si="202"/>
        <v>2000</v>
      </c>
    </row>
    <row r="270" spans="1:14" ht="14.1" customHeight="1">
      <c r="A270" s="32"/>
      <c r="B270" s="33">
        <v>5514</v>
      </c>
      <c r="C270" s="34" t="s">
        <v>221</v>
      </c>
      <c r="D270" s="52">
        <v>14400</v>
      </c>
      <c r="E270" s="17">
        <v>16000</v>
      </c>
      <c r="F270" s="226">
        <v>42500</v>
      </c>
      <c r="G270" s="17">
        <v>-2000</v>
      </c>
      <c r="H270" s="17">
        <f t="shared" si="198"/>
        <v>40500</v>
      </c>
      <c r="I270" s="17">
        <v>-12000</v>
      </c>
      <c r="J270" s="17">
        <f t="shared" si="201"/>
        <v>28500</v>
      </c>
      <c r="K270" s="17">
        <v>27581</v>
      </c>
      <c r="L270" s="226">
        <v>30000</v>
      </c>
      <c r="M270" s="335">
        <f t="shared" si="148"/>
        <v>5.2631578947368418E-2</v>
      </c>
      <c r="N270" s="329">
        <f t="shared" si="202"/>
        <v>1500</v>
      </c>
    </row>
    <row r="271" spans="1:14" ht="14.1" customHeight="1">
      <c r="A271" s="32"/>
      <c r="B271" s="33">
        <v>5515</v>
      </c>
      <c r="C271" s="34" t="s">
        <v>257</v>
      </c>
      <c r="D271" s="52">
        <v>15000</v>
      </c>
      <c r="E271" s="17">
        <v>7000</v>
      </c>
      <c r="F271" s="226">
        <v>3500</v>
      </c>
      <c r="G271" s="17">
        <v>-500</v>
      </c>
      <c r="H271" s="17">
        <f t="shared" si="198"/>
        <v>3000</v>
      </c>
      <c r="I271" s="17"/>
      <c r="J271" s="17">
        <f t="shared" si="201"/>
        <v>3000</v>
      </c>
      <c r="K271" s="17">
        <v>566</v>
      </c>
      <c r="L271" s="226">
        <v>12500</v>
      </c>
      <c r="M271" s="335">
        <f t="shared" si="148"/>
        <v>3.1666666666666665</v>
      </c>
      <c r="N271" s="329">
        <f t="shared" si="202"/>
        <v>9500</v>
      </c>
    </row>
    <row r="272" spans="1:14" ht="14.1" customHeight="1">
      <c r="A272" s="32"/>
      <c r="B272" s="33" t="s">
        <v>258</v>
      </c>
      <c r="C272" s="34" t="s">
        <v>259</v>
      </c>
      <c r="D272" s="52"/>
      <c r="E272" s="17"/>
      <c r="F272" s="226"/>
      <c r="G272" s="17"/>
      <c r="H272" s="17"/>
      <c r="I272" s="17"/>
      <c r="J272" s="17"/>
      <c r="K272" s="17"/>
      <c r="L272" s="226">
        <v>8000</v>
      </c>
      <c r="M272" s="335"/>
      <c r="N272" s="329">
        <f t="shared" si="202"/>
        <v>8000</v>
      </c>
    </row>
    <row r="273" spans="1:14" ht="14.1" customHeight="1">
      <c r="A273" s="32"/>
      <c r="B273" s="33">
        <v>5522</v>
      </c>
      <c r="C273" s="34" t="s">
        <v>262</v>
      </c>
      <c r="D273" s="52">
        <v>1000</v>
      </c>
      <c r="E273" s="17">
        <v>1130</v>
      </c>
      <c r="F273" s="226">
        <v>1000</v>
      </c>
      <c r="G273" s="17">
        <v>-200</v>
      </c>
      <c r="H273" s="17">
        <f t="shared" si="198"/>
        <v>800</v>
      </c>
      <c r="I273" s="17">
        <v>400</v>
      </c>
      <c r="J273" s="17">
        <f t="shared" si="201"/>
        <v>1200</v>
      </c>
      <c r="K273" s="17">
        <v>1229</v>
      </c>
      <c r="L273" s="226">
        <v>1200</v>
      </c>
      <c r="M273" s="335">
        <f t="shared" ref="M273:M344" si="203">(L273-J273)/J273</f>
        <v>0</v>
      </c>
      <c r="N273" s="329">
        <f t="shared" si="202"/>
        <v>0</v>
      </c>
    </row>
    <row r="274" spans="1:14" ht="14.1" customHeight="1">
      <c r="A274" s="32"/>
      <c r="B274" s="33">
        <v>5532</v>
      </c>
      <c r="C274" s="34" t="s">
        <v>333</v>
      </c>
      <c r="D274" s="52"/>
      <c r="E274" s="17">
        <v>286</v>
      </c>
      <c r="F274" s="226">
        <v>1000</v>
      </c>
      <c r="G274" s="17"/>
      <c r="H274" s="17">
        <f t="shared" si="198"/>
        <v>1000</v>
      </c>
      <c r="I274" s="17"/>
      <c r="J274" s="17">
        <f t="shared" si="201"/>
        <v>1000</v>
      </c>
      <c r="K274" s="17">
        <v>323</v>
      </c>
      <c r="L274" s="226">
        <v>3000</v>
      </c>
      <c r="M274" s="335">
        <f t="shared" si="203"/>
        <v>2</v>
      </c>
      <c r="N274" s="329">
        <f t="shared" si="202"/>
        <v>2000</v>
      </c>
    </row>
    <row r="275" spans="1:14" ht="14.1" customHeight="1">
      <c r="A275" s="32"/>
      <c r="B275" s="33">
        <v>5525</v>
      </c>
      <c r="C275" s="34" t="s">
        <v>264</v>
      </c>
      <c r="D275" s="52"/>
      <c r="E275" s="17">
        <v>867</v>
      </c>
      <c r="F275" s="226">
        <v>0</v>
      </c>
      <c r="G275" s="17"/>
      <c r="H275" s="17">
        <f t="shared" si="198"/>
        <v>0</v>
      </c>
      <c r="I275" s="17"/>
      <c r="J275" s="17">
        <f t="shared" si="201"/>
        <v>0</v>
      </c>
      <c r="K275" s="17">
        <v>879</v>
      </c>
      <c r="L275" s="226">
        <v>0</v>
      </c>
      <c r="M275" s="335" t="e">
        <f t="shared" si="203"/>
        <v>#DIV/0!</v>
      </c>
      <c r="N275" s="329">
        <f t="shared" si="202"/>
        <v>0</v>
      </c>
    </row>
    <row r="276" spans="1:14" ht="14.1" customHeight="1">
      <c r="A276" s="32"/>
      <c r="B276" s="33">
        <v>5540</v>
      </c>
      <c r="C276" s="34" t="s">
        <v>317</v>
      </c>
      <c r="D276" s="52">
        <v>5500</v>
      </c>
      <c r="E276" s="17">
        <v>600</v>
      </c>
      <c r="F276" s="226">
        <v>3000</v>
      </c>
      <c r="G276" s="17"/>
      <c r="H276" s="17">
        <f t="shared" ref="H276" si="204">+G276+F276</f>
        <v>3000</v>
      </c>
      <c r="I276" s="17">
        <v>-400</v>
      </c>
      <c r="J276" s="17">
        <f t="shared" si="201"/>
        <v>2600</v>
      </c>
      <c r="K276" s="17">
        <v>924</v>
      </c>
      <c r="L276" s="226">
        <v>1500</v>
      </c>
      <c r="M276" s="335">
        <f t="shared" si="203"/>
        <v>-0.42307692307692307</v>
      </c>
      <c r="N276" s="329">
        <f t="shared" si="202"/>
        <v>-1100</v>
      </c>
    </row>
    <row r="277" spans="1:14" ht="14.1" customHeight="1">
      <c r="A277" s="28" t="s">
        <v>334</v>
      </c>
      <c r="B277" s="29"/>
      <c r="C277" s="30" t="s">
        <v>335</v>
      </c>
      <c r="D277" s="44">
        <v>1272700</v>
      </c>
      <c r="E277" s="42">
        <v>1533774</v>
      </c>
      <c r="F277" s="42">
        <f>+F283+F293+F311</f>
        <v>1396225</v>
      </c>
      <c r="G277" s="42">
        <f t="shared" ref="G277:H277" si="205">+G283+G293</f>
        <v>-60000</v>
      </c>
      <c r="H277" s="42">
        <f t="shared" si="205"/>
        <v>1336225</v>
      </c>
      <c r="I277" s="42">
        <f t="shared" ref="I277" si="206">+I283+I293</f>
        <v>0</v>
      </c>
      <c r="J277" s="42">
        <f t="shared" ref="J277:K277" si="207">+J283+J293+J303+J311</f>
        <v>1336225</v>
      </c>
      <c r="K277" s="42">
        <f t="shared" si="207"/>
        <v>1150471</v>
      </c>
      <c r="L277" s="42">
        <f>+L283+L293+L303+L311</f>
        <v>1484000</v>
      </c>
      <c r="M277" s="335">
        <f t="shared" si="203"/>
        <v>0.11059140489064341</v>
      </c>
      <c r="N277" s="330">
        <f t="shared" si="202"/>
        <v>147775</v>
      </c>
    </row>
    <row r="278" spans="1:14" ht="12.6">
      <c r="A278" s="54"/>
      <c r="B278" s="54"/>
      <c r="C278" s="54" t="s">
        <v>336</v>
      </c>
      <c r="D278" s="54"/>
      <c r="E278" s="54">
        <v>1533774</v>
      </c>
      <c r="F278" s="54">
        <f>F280+F281+F279+F282</f>
        <v>1396225</v>
      </c>
      <c r="G278" s="54">
        <f t="shared" ref="G278:L278" si="208">G280+G281+G279+G282</f>
        <v>-60000</v>
      </c>
      <c r="H278" s="54">
        <f t="shared" si="208"/>
        <v>1336225</v>
      </c>
      <c r="I278" s="54">
        <f t="shared" si="208"/>
        <v>0</v>
      </c>
      <c r="J278" s="54">
        <f t="shared" si="208"/>
        <v>1336225</v>
      </c>
      <c r="K278" s="54">
        <f t="shared" si="208"/>
        <v>1150471</v>
      </c>
      <c r="L278" s="54">
        <f t="shared" si="208"/>
        <v>1484000</v>
      </c>
      <c r="M278" s="335">
        <f t="shared" si="203"/>
        <v>0.11059140489064341</v>
      </c>
      <c r="N278" s="330">
        <f t="shared" si="202"/>
        <v>147775</v>
      </c>
    </row>
    <row r="279" spans="1:14" ht="14.1" customHeight="1">
      <c r="A279" s="141"/>
      <c r="B279" s="141">
        <v>45</v>
      </c>
      <c r="C279" s="141" t="s">
        <v>337</v>
      </c>
      <c r="D279" s="141"/>
      <c r="E279" s="141">
        <v>0</v>
      </c>
      <c r="F279" s="141">
        <f>F284</f>
        <v>14000</v>
      </c>
      <c r="G279" s="141">
        <f t="shared" ref="G279:L279" si="209">G284</f>
        <v>0</v>
      </c>
      <c r="H279" s="141">
        <f t="shared" si="209"/>
        <v>14000</v>
      </c>
      <c r="I279" s="141">
        <f t="shared" si="209"/>
        <v>489</v>
      </c>
      <c r="J279" s="141">
        <f t="shared" si="209"/>
        <v>14489</v>
      </c>
      <c r="K279" s="141">
        <f t="shared" si="209"/>
        <v>10867</v>
      </c>
      <c r="L279" s="141">
        <f t="shared" si="209"/>
        <v>15000</v>
      </c>
      <c r="M279" s="335">
        <f t="shared" si="203"/>
        <v>3.5268134446821725E-2</v>
      </c>
      <c r="N279" s="330">
        <f t="shared" si="202"/>
        <v>511</v>
      </c>
    </row>
    <row r="280" spans="1:14" ht="14.1" customHeight="1">
      <c r="A280" s="143"/>
      <c r="B280" s="143">
        <v>50</v>
      </c>
      <c r="C280" s="143" t="s">
        <v>338</v>
      </c>
      <c r="D280" s="143"/>
      <c r="E280" s="143">
        <v>2705</v>
      </c>
      <c r="F280" s="143">
        <f t="shared" ref="F280:K280" si="210">F294+F312</f>
        <v>2800</v>
      </c>
      <c r="G280" s="143">
        <f t="shared" si="210"/>
        <v>0</v>
      </c>
      <c r="H280" s="143">
        <f t="shared" si="210"/>
        <v>2800</v>
      </c>
      <c r="I280" s="143">
        <f t="shared" si="210"/>
        <v>0</v>
      </c>
      <c r="J280" s="143">
        <f t="shared" si="210"/>
        <v>2800</v>
      </c>
      <c r="K280" s="143">
        <f t="shared" si="210"/>
        <v>2324</v>
      </c>
      <c r="L280" s="143">
        <f>L294+L312+L304</f>
        <v>3000</v>
      </c>
      <c r="M280" s="335">
        <f t="shared" si="203"/>
        <v>7.1428571428571425E-2</v>
      </c>
      <c r="N280" s="330">
        <f t="shared" si="202"/>
        <v>200</v>
      </c>
    </row>
    <row r="281" spans="1:14" ht="14.1" customHeight="1">
      <c r="A281" s="137"/>
      <c r="B281" s="137">
        <v>55</v>
      </c>
      <c r="C281" s="137" t="s">
        <v>339</v>
      </c>
      <c r="D281" s="137"/>
      <c r="E281" s="137">
        <v>1531069</v>
      </c>
      <c r="F281" s="226">
        <f>F285+F295+F313</f>
        <v>1379425</v>
      </c>
      <c r="G281" s="226">
        <f>G285+G295+G313</f>
        <v>-60000</v>
      </c>
      <c r="H281" s="226">
        <f>H285+H295+H313</f>
        <v>1319425</v>
      </c>
      <c r="I281" s="226">
        <f>I285+I295+I313</f>
        <v>-489</v>
      </c>
      <c r="J281" s="226">
        <f t="shared" ref="J281:K281" si="211">J285+J295+J313+J305</f>
        <v>1318936</v>
      </c>
      <c r="K281" s="226">
        <f t="shared" si="211"/>
        <v>1137280</v>
      </c>
      <c r="L281" s="226">
        <f>L285+L295+L313+L305</f>
        <v>1466000</v>
      </c>
      <c r="M281" s="335">
        <f t="shared" si="203"/>
        <v>0.11150199858067412</v>
      </c>
      <c r="N281" s="330">
        <f t="shared" si="202"/>
        <v>147064</v>
      </c>
    </row>
    <row r="282" spans="1:14" ht="14.1" customHeight="1">
      <c r="A282" s="140"/>
      <c r="B282" s="140">
        <v>60</v>
      </c>
      <c r="C282" s="140" t="s">
        <v>340</v>
      </c>
      <c r="D282" s="140"/>
      <c r="E282" s="140">
        <v>0</v>
      </c>
      <c r="F282" s="140">
        <v>0</v>
      </c>
      <c r="G282" s="140">
        <v>0</v>
      </c>
      <c r="H282" s="140">
        <v>0</v>
      </c>
      <c r="I282" s="140">
        <v>0</v>
      </c>
      <c r="J282" s="140">
        <v>0</v>
      </c>
      <c r="K282" s="140">
        <v>0</v>
      </c>
      <c r="L282" s="140">
        <v>0</v>
      </c>
      <c r="M282" s="335" t="e">
        <f t="shared" si="203"/>
        <v>#DIV/0!</v>
      </c>
      <c r="N282" s="330">
        <f t="shared" si="202"/>
        <v>0</v>
      </c>
    </row>
    <row r="283" spans="1:14" ht="14.1" customHeight="1">
      <c r="A283" s="45" t="s">
        <v>341</v>
      </c>
      <c r="B283" s="46"/>
      <c r="C283" s="47" t="s">
        <v>342</v>
      </c>
      <c r="D283" s="53">
        <v>33000</v>
      </c>
      <c r="E283" s="50">
        <v>39550</v>
      </c>
      <c r="F283" s="50">
        <f t="shared" ref="F283" si="212">+F284+F285</f>
        <v>53400</v>
      </c>
      <c r="G283" s="50">
        <f t="shared" ref="G283:H283" si="213">+G284+G285</f>
        <v>0</v>
      </c>
      <c r="H283" s="50">
        <f t="shared" si="213"/>
        <v>53400</v>
      </c>
      <c r="I283" s="50">
        <f t="shared" ref="I283:J283" si="214">+I284+I285</f>
        <v>0</v>
      </c>
      <c r="J283" s="50">
        <f t="shared" si="214"/>
        <v>53400</v>
      </c>
      <c r="K283" s="50">
        <f t="shared" ref="K283:L283" si="215">+K284+K285</f>
        <v>49434</v>
      </c>
      <c r="L283" s="50">
        <f t="shared" si="215"/>
        <v>65000</v>
      </c>
      <c r="M283" s="335">
        <f t="shared" si="203"/>
        <v>0.21722846441947566</v>
      </c>
      <c r="N283" s="329">
        <f t="shared" si="202"/>
        <v>11600</v>
      </c>
    </row>
    <row r="284" spans="1:14" ht="14.1" customHeight="1">
      <c r="A284" s="37"/>
      <c r="B284" s="38">
        <v>45</v>
      </c>
      <c r="C284" s="39" t="s">
        <v>343</v>
      </c>
      <c r="D284" s="51">
        <v>0</v>
      </c>
      <c r="E284" s="140">
        <v>0</v>
      </c>
      <c r="F284" s="140">
        <v>14000</v>
      </c>
      <c r="G284" s="140"/>
      <c r="H284" s="140">
        <f>+F284+G284</f>
        <v>14000</v>
      </c>
      <c r="I284" s="140">
        <v>489</v>
      </c>
      <c r="J284" s="140">
        <f>+H284+I284</f>
        <v>14489</v>
      </c>
      <c r="K284" s="201">
        <v>10867</v>
      </c>
      <c r="L284" s="140">
        <v>15000</v>
      </c>
      <c r="M284" s="335">
        <f t="shared" si="203"/>
        <v>3.5268134446821725E-2</v>
      </c>
      <c r="N284" s="329">
        <f t="shared" si="202"/>
        <v>511</v>
      </c>
    </row>
    <row r="285" spans="1:14" ht="12.6">
      <c r="A285" s="66"/>
      <c r="B285" s="60">
        <v>55</v>
      </c>
      <c r="C285" s="61" t="s">
        <v>213</v>
      </c>
      <c r="D285" s="52">
        <v>33000</v>
      </c>
      <c r="E285" s="137">
        <v>39550</v>
      </c>
      <c r="F285" s="137">
        <f t="shared" ref="F285:K285" si="216">SUM(F286:F292)</f>
        <v>39400</v>
      </c>
      <c r="G285" s="137">
        <f t="shared" si="216"/>
        <v>0</v>
      </c>
      <c r="H285" s="137">
        <f t="shared" si="216"/>
        <v>39400</v>
      </c>
      <c r="I285" s="137">
        <f t="shared" si="216"/>
        <v>-489</v>
      </c>
      <c r="J285" s="137">
        <f t="shared" si="216"/>
        <v>38911</v>
      </c>
      <c r="K285" s="137">
        <f t="shared" si="216"/>
        <v>38567</v>
      </c>
      <c r="L285" s="137">
        <f t="shared" ref="L285" si="217">SUM(L286:L292)</f>
        <v>50000</v>
      </c>
      <c r="M285" s="335">
        <f t="shared" si="203"/>
        <v>0.28498368070725499</v>
      </c>
      <c r="N285" s="329">
        <f t="shared" si="202"/>
        <v>11089</v>
      </c>
    </row>
    <row r="286" spans="1:14" ht="12.6">
      <c r="A286" s="66"/>
      <c r="B286" s="33">
        <v>5500</v>
      </c>
      <c r="C286" s="34" t="s">
        <v>327</v>
      </c>
      <c r="D286" s="52">
        <v>0</v>
      </c>
      <c r="E286" s="17">
        <v>0</v>
      </c>
      <c r="F286" s="226">
        <v>0</v>
      </c>
      <c r="G286" s="20"/>
      <c r="H286" s="17">
        <f t="shared" ref="H286:H292" si="218">+G286+F286</f>
        <v>0</v>
      </c>
      <c r="I286" s="20"/>
      <c r="J286" s="17">
        <f t="shared" ref="J286:J292" si="219">+I286+H286</f>
        <v>0</v>
      </c>
      <c r="K286" s="17"/>
      <c r="L286" s="226">
        <v>0</v>
      </c>
      <c r="M286" s="335" t="e">
        <f t="shared" si="203"/>
        <v>#DIV/0!</v>
      </c>
      <c r="N286" s="329">
        <f t="shared" si="202"/>
        <v>0</v>
      </c>
    </row>
    <row r="287" spans="1:14" ht="12.6">
      <c r="A287" s="66"/>
      <c r="B287" s="33">
        <v>5504</v>
      </c>
      <c r="C287" s="34" t="s">
        <v>230</v>
      </c>
      <c r="D287" s="52">
        <v>0</v>
      </c>
      <c r="E287" s="17">
        <v>0</v>
      </c>
      <c r="F287" s="226">
        <v>0</v>
      </c>
      <c r="G287" s="20"/>
      <c r="H287" s="17">
        <f t="shared" si="218"/>
        <v>0</v>
      </c>
      <c r="I287" s="20"/>
      <c r="J287" s="17">
        <f t="shared" si="219"/>
        <v>0</v>
      </c>
      <c r="K287" s="17"/>
      <c r="L287" s="226"/>
      <c r="M287" s="335" t="e">
        <f t="shared" si="203"/>
        <v>#DIV/0!</v>
      </c>
      <c r="N287" s="329">
        <f t="shared" si="202"/>
        <v>0</v>
      </c>
    </row>
    <row r="288" spans="1:14" ht="12.6">
      <c r="A288" s="66"/>
      <c r="B288" s="64">
        <v>5511</v>
      </c>
      <c r="C288" s="40" t="s">
        <v>219</v>
      </c>
      <c r="D288" s="52">
        <v>0</v>
      </c>
      <c r="E288" s="17">
        <v>2000</v>
      </c>
      <c r="F288" s="224">
        <v>0</v>
      </c>
      <c r="G288" s="17"/>
      <c r="H288" s="17">
        <f t="shared" si="218"/>
        <v>0</v>
      </c>
      <c r="I288" s="17"/>
      <c r="J288" s="17">
        <f t="shared" si="219"/>
        <v>0</v>
      </c>
      <c r="K288" s="17">
        <v>571</v>
      </c>
      <c r="L288" s="226">
        <v>100</v>
      </c>
      <c r="M288" s="335" t="e">
        <f t="shared" si="203"/>
        <v>#DIV/0!</v>
      </c>
      <c r="N288" s="329">
        <f t="shared" si="202"/>
        <v>100</v>
      </c>
    </row>
    <row r="289" spans="1:14" ht="12.6">
      <c r="A289" s="66"/>
      <c r="B289" s="64">
        <v>5512</v>
      </c>
      <c r="C289" s="40" t="s">
        <v>344</v>
      </c>
      <c r="D289" s="52">
        <v>32000</v>
      </c>
      <c r="E289" s="17">
        <v>37000</v>
      </c>
      <c r="F289" s="224">
        <v>39400</v>
      </c>
      <c r="G289" s="17">
        <v>-400</v>
      </c>
      <c r="H289" s="17">
        <f t="shared" si="218"/>
        <v>39000</v>
      </c>
      <c r="I289" s="17">
        <v>-433</v>
      </c>
      <c r="J289" s="17">
        <f t="shared" si="219"/>
        <v>38567</v>
      </c>
      <c r="K289" s="17">
        <v>37746</v>
      </c>
      <c r="L289" s="226">
        <v>49540</v>
      </c>
      <c r="M289" s="335">
        <f t="shared" si="203"/>
        <v>0.28451785204967978</v>
      </c>
      <c r="N289" s="329">
        <f t="shared" si="202"/>
        <v>10973</v>
      </c>
    </row>
    <row r="290" spans="1:14" ht="12.6">
      <c r="A290" s="66"/>
      <c r="B290" s="64">
        <v>5513</v>
      </c>
      <c r="C290" s="40" t="s">
        <v>254</v>
      </c>
      <c r="D290" s="52">
        <v>1000</v>
      </c>
      <c r="E290" s="17">
        <v>0</v>
      </c>
      <c r="F290" s="224">
        <v>0</v>
      </c>
      <c r="G290" s="17"/>
      <c r="H290" s="17">
        <f t="shared" si="218"/>
        <v>0</v>
      </c>
      <c r="I290" s="17"/>
      <c r="J290" s="17">
        <f t="shared" si="219"/>
        <v>0</v>
      </c>
      <c r="K290" s="17"/>
      <c r="L290" s="226"/>
      <c r="M290" s="335" t="e">
        <f t="shared" si="203"/>
        <v>#DIV/0!</v>
      </c>
      <c r="N290" s="329">
        <f t="shared" si="202"/>
        <v>0</v>
      </c>
    </row>
    <row r="291" spans="1:14" ht="12.6">
      <c r="A291" s="66"/>
      <c r="B291" s="64">
        <v>5514</v>
      </c>
      <c r="C291" s="40" t="s">
        <v>221</v>
      </c>
      <c r="D291" s="52">
        <v>0</v>
      </c>
      <c r="E291" s="17">
        <v>550</v>
      </c>
      <c r="F291" s="224">
        <v>0</v>
      </c>
      <c r="G291" s="194">
        <v>400</v>
      </c>
      <c r="H291" s="17">
        <f t="shared" si="218"/>
        <v>400</v>
      </c>
      <c r="I291" s="17">
        <v>-56</v>
      </c>
      <c r="J291" s="17">
        <f t="shared" si="219"/>
        <v>344</v>
      </c>
      <c r="K291" s="17">
        <v>250</v>
      </c>
      <c r="L291" s="226">
        <v>360</v>
      </c>
      <c r="M291" s="335">
        <f t="shared" si="203"/>
        <v>4.6511627906976744E-2</v>
      </c>
      <c r="N291" s="329">
        <f t="shared" si="202"/>
        <v>16</v>
      </c>
    </row>
    <row r="292" spans="1:14" ht="12.6">
      <c r="A292" s="66"/>
      <c r="B292" s="33">
        <v>5515</v>
      </c>
      <c r="C292" s="34" t="s">
        <v>257</v>
      </c>
      <c r="D292" s="52">
        <v>0</v>
      </c>
      <c r="E292" s="17">
        <v>0</v>
      </c>
      <c r="F292" s="224">
        <v>0</v>
      </c>
      <c r="G292" s="17"/>
      <c r="H292" s="17">
        <f t="shared" si="218"/>
        <v>0</v>
      </c>
      <c r="I292" s="17"/>
      <c r="J292" s="17">
        <f t="shared" si="219"/>
        <v>0</v>
      </c>
      <c r="K292" s="17"/>
      <c r="L292" s="226"/>
      <c r="M292" s="335" t="e">
        <f t="shared" si="203"/>
        <v>#DIV/0!</v>
      </c>
      <c r="N292" s="329">
        <f t="shared" si="202"/>
        <v>0</v>
      </c>
    </row>
    <row r="293" spans="1:14" ht="12.6">
      <c r="A293" s="56" t="s">
        <v>345</v>
      </c>
      <c r="B293" s="46"/>
      <c r="C293" s="47" t="s">
        <v>346</v>
      </c>
      <c r="D293" s="53">
        <v>1239700</v>
      </c>
      <c r="E293" s="50">
        <v>1494224</v>
      </c>
      <c r="F293" s="50">
        <f t="shared" ref="F293" si="220">+F294+F295</f>
        <v>1342825</v>
      </c>
      <c r="G293" s="50">
        <f t="shared" ref="G293:I293" si="221">+G294+G295</f>
        <v>-60000</v>
      </c>
      <c r="H293" s="50">
        <f t="shared" ref="H293:J293" si="222">+H294+H295</f>
        <v>1282825</v>
      </c>
      <c r="I293" s="50">
        <f t="shared" si="221"/>
        <v>0</v>
      </c>
      <c r="J293" s="50">
        <f t="shared" si="222"/>
        <v>1282825</v>
      </c>
      <c r="K293" s="50">
        <f t="shared" ref="K293:L293" si="223">+K294+K295</f>
        <v>1101037</v>
      </c>
      <c r="L293" s="50">
        <f t="shared" si="223"/>
        <v>1299000</v>
      </c>
      <c r="M293" s="335">
        <f t="shared" si="203"/>
        <v>1.2608890534562392E-2</v>
      </c>
      <c r="N293" s="329">
        <f t="shared" si="202"/>
        <v>16175</v>
      </c>
    </row>
    <row r="294" spans="1:14" ht="14.1" customHeight="1">
      <c r="A294" s="67"/>
      <c r="B294" s="60">
        <v>50</v>
      </c>
      <c r="C294" s="61" t="s">
        <v>272</v>
      </c>
      <c r="D294" s="52">
        <v>2500</v>
      </c>
      <c r="E294" s="143">
        <v>2705</v>
      </c>
      <c r="F294" s="197">
        <v>2800</v>
      </c>
      <c r="G294" s="197"/>
      <c r="H294" s="143">
        <f t="shared" ref="H294" si="224">+G294+F294</f>
        <v>2800</v>
      </c>
      <c r="I294" s="197"/>
      <c r="J294" s="143">
        <f t="shared" ref="J294" si="225">+I294+H294</f>
        <v>2800</v>
      </c>
      <c r="K294" s="143">
        <v>2324</v>
      </c>
      <c r="L294" s="197">
        <v>3000</v>
      </c>
      <c r="M294" s="335">
        <f t="shared" si="203"/>
        <v>7.1428571428571425E-2</v>
      </c>
      <c r="N294" s="329">
        <f t="shared" si="202"/>
        <v>200</v>
      </c>
    </row>
    <row r="295" spans="1:14" ht="14.1" customHeight="1">
      <c r="A295" s="37"/>
      <c r="B295" s="38" t="s">
        <v>212</v>
      </c>
      <c r="C295" s="39" t="s">
        <v>347</v>
      </c>
      <c r="D295" s="52">
        <v>1237200</v>
      </c>
      <c r="E295" s="137">
        <v>1491519</v>
      </c>
      <c r="F295" s="137">
        <f t="shared" ref="F295" si="226">SUM(F296:F302)</f>
        <v>1340025</v>
      </c>
      <c r="G295" s="137">
        <f t="shared" ref="G295:I295" si="227">SUM(G296:G302)</f>
        <v>-60000</v>
      </c>
      <c r="H295" s="137">
        <f t="shared" ref="H295:K295" si="228">SUM(H296:H302)</f>
        <v>1280025</v>
      </c>
      <c r="I295" s="137">
        <f t="shared" si="227"/>
        <v>0</v>
      </c>
      <c r="J295" s="137">
        <f t="shared" si="228"/>
        <v>1280025</v>
      </c>
      <c r="K295" s="137">
        <f t="shared" si="228"/>
        <v>1098713</v>
      </c>
      <c r="L295" s="137">
        <f>SUM(L296:L302)</f>
        <v>1296000</v>
      </c>
      <c r="M295" s="335">
        <f t="shared" si="203"/>
        <v>1.2480224995605554E-2</v>
      </c>
      <c r="N295" s="329">
        <f t="shared" si="202"/>
        <v>15975</v>
      </c>
    </row>
    <row r="296" spans="1:14" ht="14.1" customHeight="1">
      <c r="A296" s="37"/>
      <c r="B296" s="33">
        <v>5500</v>
      </c>
      <c r="C296" s="34" t="s">
        <v>327</v>
      </c>
      <c r="D296" s="52">
        <v>0</v>
      </c>
      <c r="E296" s="17">
        <v>0</v>
      </c>
      <c r="F296" s="226">
        <v>25</v>
      </c>
      <c r="G296" s="17"/>
      <c r="H296" s="17">
        <f t="shared" ref="H296:H302" si="229">+G296+F296</f>
        <v>25</v>
      </c>
      <c r="I296" s="17"/>
      <c r="J296" s="17">
        <f t="shared" ref="J296:J302" si="230">+I296+H296</f>
        <v>25</v>
      </c>
      <c r="K296" s="17"/>
      <c r="L296" s="226"/>
      <c r="M296" s="335">
        <f t="shared" si="203"/>
        <v>-1</v>
      </c>
      <c r="N296" s="329">
        <f t="shared" si="202"/>
        <v>-25</v>
      </c>
    </row>
    <row r="297" spans="1:14" ht="13.5" customHeight="1">
      <c r="A297" s="37"/>
      <c r="B297" s="33">
        <v>5511</v>
      </c>
      <c r="C297" s="34" t="s">
        <v>219</v>
      </c>
      <c r="D297" s="52">
        <v>3000</v>
      </c>
      <c r="E297" s="17">
        <v>8</v>
      </c>
      <c r="F297" s="226">
        <v>0</v>
      </c>
      <c r="G297" s="17"/>
      <c r="H297" s="17">
        <f t="shared" si="229"/>
        <v>0</v>
      </c>
      <c r="I297" s="17"/>
      <c r="J297" s="17">
        <f t="shared" si="230"/>
        <v>0</v>
      </c>
      <c r="K297" s="17"/>
      <c r="L297" s="226"/>
      <c r="M297" s="335" t="e">
        <f t="shared" si="203"/>
        <v>#DIV/0!</v>
      </c>
      <c r="N297" s="329">
        <f t="shared" si="202"/>
        <v>0</v>
      </c>
    </row>
    <row r="298" spans="1:14" ht="14.1" customHeight="1">
      <c r="A298" s="37"/>
      <c r="B298" s="33">
        <v>5512</v>
      </c>
      <c r="C298" s="34" t="s">
        <v>344</v>
      </c>
      <c r="D298" s="52">
        <v>1230200</v>
      </c>
      <c r="E298" s="17">
        <v>1450000</v>
      </c>
      <c r="F298" s="226">
        <v>1300000</v>
      </c>
      <c r="G298" s="17">
        <v>-50000</v>
      </c>
      <c r="H298" s="17">
        <f t="shared" si="229"/>
        <v>1250000</v>
      </c>
      <c r="I298" s="17"/>
      <c r="J298" s="17">
        <f t="shared" si="230"/>
        <v>1250000</v>
      </c>
      <c r="K298" s="17">
        <v>1088956</v>
      </c>
      <c r="L298" s="226">
        <v>1284500</v>
      </c>
      <c r="M298" s="335">
        <f t="shared" si="203"/>
        <v>2.76E-2</v>
      </c>
      <c r="N298" s="329">
        <f t="shared" si="202"/>
        <v>34500</v>
      </c>
    </row>
    <row r="299" spans="1:14" ht="12.6">
      <c r="A299" s="37"/>
      <c r="B299" s="33">
        <v>5513</v>
      </c>
      <c r="C299" s="34" t="s">
        <v>254</v>
      </c>
      <c r="D299" s="52">
        <v>4000</v>
      </c>
      <c r="E299" s="17">
        <v>0</v>
      </c>
      <c r="F299" s="226">
        <v>0</v>
      </c>
      <c r="G299" s="17"/>
      <c r="H299" s="17">
        <f t="shared" si="229"/>
        <v>0</v>
      </c>
      <c r="I299" s="17"/>
      <c r="J299" s="17">
        <f t="shared" si="230"/>
        <v>0</v>
      </c>
      <c r="K299" s="17">
        <v>1238</v>
      </c>
      <c r="L299" s="226"/>
      <c r="M299" s="335" t="e">
        <f t="shared" si="203"/>
        <v>#DIV/0!</v>
      </c>
      <c r="N299" s="329">
        <f t="shared" si="202"/>
        <v>0</v>
      </c>
    </row>
    <row r="300" spans="1:14" ht="12.6">
      <c r="A300" s="37"/>
      <c r="B300" s="33">
        <v>5515</v>
      </c>
      <c r="C300" s="34" t="s">
        <v>257</v>
      </c>
      <c r="D300" s="52">
        <v>0</v>
      </c>
      <c r="E300" s="17">
        <v>41200</v>
      </c>
      <c r="F300" s="226">
        <v>40000</v>
      </c>
      <c r="G300" s="17">
        <v>-10000</v>
      </c>
      <c r="H300" s="17">
        <f t="shared" si="229"/>
        <v>30000</v>
      </c>
      <c r="I300" s="17"/>
      <c r="J300" s="17">
        <f t="shared" si="230"/>
        <v>30000</v>
      </c>
      <c r="K300" s="17">
        <v>8291</v>
      </c>
      <c r="L300" s="226">
        <v>11000</v>
      </c>
      <c r="M300" s="335">
        <f t="shared" si="203"/>
        <v>-0.6333333333333333</v>
      </c>
      <c r="N300" s="329">
        <f t="shared" si="202"/>
        <v>-19000</v>
      </c>
    </row>
    <row r="301" spans="1:14" ht="12.6">
      <c r="A301" s="37"/>
      <c r="B301" s="33" t="s">
        <v>263</v>
      </c>
      <c r="C301" s="34" t="s">
        <v>264</v>
      </c>
      <c r="D301" s="52"/>
      <c r="E301" s="17">
        <v>311</v>
      </c>
      <c r="F301" s="226"/>
      <c r="G301" s="17"/>
      <c r="H301" s="17">
        <f t="shared" si="229"/>
        <v>0</v>
      </c>
      <c r="I301" s="17"/>
      <c r="J301" s="17">
        <f t="shared" si="230"/>
        <v>0</v>
      </c>
      <c r="K301" s="17">
        <v>228</v>
      </c>
      <c r="L301" s="226">
        <v>500</v>
      </c>
      <c r="M301" s="335" t="e">
        <f t="shared" si="203"/>
        <v>#DIV/0!</v>
      </c>
      <c r="N301" s="329">
        <f t="shared" si="202"/>
        <v>500</v>
      </c>
    </row>
    <row r="302" spans="1:14" ht="12.6">
      <c r="A302" s="37"/>
      <c r="B302" s="33">
        <v>5540</v>
      </c>
      <c r="C302" s="34" t="s">
        <v>348</v>
      </c>
      <c r="D302" s="52">
        <v>0</v>
      </c>
      <c r="E302" s="17">
        <v>0</v>
      </c>
      <c r="F302" s="226">
        <v>0</v>
      </c>
      <c r="G302" s="17"/>
      <c r="H302" s="17">
        <f t="shared" si="229"/>
        <v>0</v>
      </c>
      <c r="I302" s="17"/>
      <c r="J302" s="17">
        <f t="shared" si="230"/>
        <v>0</v>
      </c>
      <c r="K302" s="17"/>
      <c r="L302" s="226"/>
      <c r="M302" s="335" t="e">
        <f t="shared" si="203"/>
        <v>#DIV/0!</v>
      </c>
      <c r="N302" s="329">
        <f t="shared" si="202"/>
        <v>0</v>
      </c>
    </row>
    <row r="303" spans="1:14" ht="12.6">
      <c r="A303" s="302" t="s">
        <v>349</v>
      </c>
      <c r="B303" s="46"/>
      <c r="C303" s="47" t="s">
        <v>350</v>
      </c>
      <c r="D303" s="53"/>
      <c r="E303" s="50"/>
      <c r="F303" s="50">
        <f t="shared" ref="F303:L303" si="231">+F304+F305</f>
        <v>0</v>
      </c>
      <c r="G303" s="50">
        <f t="shared" si="231"/>
        <v>0</v>
      </c>
      <c r="H303" s="50">
        <f t="shared" si="231"/>
        <v>0</v>
      </c>
      <c r="I303" s="50">
        <f t="shared" si="231"/>
        <v>0</v>
      </c>
      <c r="J303" s="50">
        <f t="shared" si="231"/>
        <v>0</v>
      </c>
      <c r="K303" s="50">
        <f t="shared" si="231"/>
        <v>0</v>
      </c>
      <c r="L303" s="50">
        <f t="shared" si="231"/>
        <v>20000</v>
      </c>
      <c r="M303" s="335" t="e">
        <f t="shared" ref="M303:M310" si="232">(L303-J303)/J303</f>
        <v>#DIV/0!</v>
      </c>
      <c r="N303" s="329">
        <f t="shared" si="202"/>
        <v>20000</v>
      </c>
    </row>
    <row r="304" spans="1:14" ht="12.6">
      <c r="A304" s="67"/>
      <c r="B304" s="60">
        <v>50</v>
      </c>
      <c r="C304" s="61" t="s">
        <v>272</v>
      </c>
      <c r="D304" s="52"/>
      <c r="E304" s="143"/>
      <c r="F304" s="197"/>
      <c r="G304" s="197"/>
      <c r="H304" s="143">
        <f t="shared" ref="H304" si="233">+G304+F304</f>
        <v>0</v>
      </c>
      <c r="I304" s="197"/>
      <c r="J304" s="143">
        <f t="shared" ref="J304" si="234">+I304+H304</f>
        <v>0</v>
      </c>
      <c r="K304" s="143"/>
      <c r="L304" s="197"/>
      <c r="M304" s="335" t="e">
        <f t="shared" si="232"/>
        <v>#DIV/0!</v>
      </c>
      <c r="N304" s="329">
        <f t="shared" si="202"/>
        <v>0</v>
      </c>
    </row>
    <row r="305" spans="1:14" ht="12.6">
      <c r="A305" s="37"/>
      <c r="B305" s="38" t="s">
        <v>212</v>
      </c>
      <c r="C305" s="39" t="s">
        <v>347</v>
      </c>
      <c r="D305" s="52"/>
      <c r="E305" s="137"/>
      <c r="F305" s="137">
        <f t="shared" ref="F305:L305" si="235">SUM(F306:F310)</f>
        <v>0</v>
      </c>
      <c r="G305" s="137">
        <f t="shared" si="235"/>
        <v>0</v>
      </c>
      <c r="H305" s="137">
        <f t="shared" si="235"/>
        <v>0</v>
      </c>
      <c r="I305" s="137">
        <f t="shared" si="235"/>
        <v>0</v>
      </c>
      <c r="J305" s="137">
        <f t="shared" si="235"/>
        <v>0</v>
      </c>
      <c r="K305" s="137">
        <f t="shared" si="235"/>
        <v>0</v>
      </c>
      <c r="L305" s="137">
        <f t="shared" si="235"/>
        <v>20000</v>
      </c>
      <c r="M305" s="335" t="e">
        <f t="shared" si="232"/>
        <v>#DIV/0!</v>
      </c>
      <c r="N305" s="329">
        <f t="shared" si="202"/>
        <v>20000</v>
      </c>
    </row>
    <row r="306" spans="1:14" ht="12.6">
      <c r="A306" s="37"/>
      <c r="B306" s="33">
        <v>5502</v>
      </c>
      <c r="C306" s="34" t="s">
        <v>324</v>
      </c>
      <c r="D306" s="52"/>
      <c r="E306" s="17"/>
      <c r="F306" s="226"/>
      <c r="G306" s="17"/>
      <c r="H306" s="17"/>
      <c r="I306" s="17"/>
      <c r="J306" s="17"/>
      <c r="K306" s="17"/>
      <c r="L306" s="226">
        <f>10000</f>
        <v>10000</v>
      </c>
      <c r="M306" s="335" t="e">
        <f t="shared" si="232"/>
        <v>#DIV/0!</v>
      </c>
      <c r="N306" s="329">
        <f t="shared" si="202"/>
        <v>10000</v>
      </c>
    </row>
    <row r="307" spans="1:14" ht="12.6">
      <c r="A307" s="37"/>
      <c r="B307" s="33">
        <v>5511</v>
      </c>
      <c r="C307" s="34" t="s">
        <v>219</v>
      </c>
      <c r="D307" s="52"/>
      <c r="E307" s="17"/>
      <c r="F307" s="226"/>
      <c r="G307" s="17"/>
      <c r="H307" s="17"/>
      <c r="I307" s="17"/>
      <c r="J307" s="17"/>
      <c r="K307" s="17"/>
      <c r="L307" s="226"/>
      <c r="M307" s="335" t="e">
        <f t="shared" si="232"/>
        <v>#DIV/0!</v>
      </c>
      <c r="N307" s="329">
        <f t="shared" si="202"/>
        <v>0</v>
      </c>
    </row>
    <row r="308" spans="1:14" ht="12.6">
      <c r="A308" s="37"/>
      <c r="B308" s="33">
        <v>5512</v>
      </c>
      <c r="C308" s="34" t="s">
        <v>344</v>
      </c>
      <c r="D308" s="52"/>
      <c r="E308" s="17"/>
      <c r="F308" s="226"/>
      <c r="G308" s="17"/>
      <c r="H308" s="17"/>
      <c r="I308" s="17"/>
      <c r="J308" s="17"/>
      <c r="K308" s="17"/>
      <c r="L308" s="226">
        <v>10000</v>
      </c>
      <c r="M308" s="335" t="e">
        <f t="shared" si="232"/>
        <v>#DIV/0!</v>
      </c>
      <c r="N308" s="329">
        <f t="shared" si="202"/>
        <v>10000</v>
      </c>
    </row>
    <row r="309" spans="1:14" ht="12.6">
      <c r="A309" s="37"/>
      <c r="B309" s="33">
        <v>5515</v>
      </c>
      <c r="C309" s="34" t="s">
        <v>257</v>
      </c>
      <c r="D309" s="52"/>
      <c r="E309" s="17"/>
      <c r="F309" s="226"/>
      <c r="G309" s="17"/>
      <c r="H309" s="17"/>
      <c r="I309" s="17"/>
      <c r="J309" s="17"/>
      <c r="K309" s="17"/>
      <c r="L309" s="226"/>
      <c r="M309" s="335" t="e">
        <f t="shared" si="232"/>
        <v>#DIV/0!</v>
      </c>
      <c r="N309" s="329">
        <f t="shared" si="202"/>
        <v>0</v>
      </c>
    </row>
    <row r="310" spans="1:14" ht="12.6">
      <c r="A310" s="37"/>
      <c r="B310" s="33">
        <v>5540</v>
      </c>
      <c r="C310" s="34" t="s">
        <v>348</v>
      </c>
      <c r="D310" s="52"/>
      <c r="E310" s="17"/>
      <c r="F310" s="226"/>
      <c r="G310" s="17"/>
      <c r="H310" s="17"/>
      <c r="I310" s="17"/>
      <c r="J310" s="17"/>
      <c r="K310" s="17"/>
      <c r="L310" s="226"/>
      <c r="M310" s="335" t="e">
        <f t="shared" si="232"/>
        <v>#DIV/0!</v>
      </c>
      <c r="N310" s="329">
        <f t="shared" si="202"/>
        <v>0</v>
      </c>
    </row>
    <row r="311" spans="1:14" ht="12.6">
      <c r="A311" s="302" t="s">
        <v>351</v>
      </c>
      <c r="B311" s="46"/>
      <c r="C311" s="47" t="s">
        <v>352</v>
      </c>
      <c r="D311" s="53"/>
      <c r="E311" s="50"/>
      <c r="F311" s="50">
        <f t="shared" ref="F311:L311" si="236">+F312+F313</f>
        <v>0</v>
      </c>
      <c r="G311" s="50">
        <f t="shared" si="236"/>
        <v>0</v>
      </c>
      <c r="H311" s="50">
        <f t="shared" si="236"/>
        <v>0</v>
      </c>
      <c r="I311" s="50">
        <f t="shared" si="236"/>
        <v>0</v>
      </c>
      <c r="J311" s="50">
        <f t="shared" si="236"/>
        <v>0</v>
      </c>
      <c r="K311" s="50">
        <f t="shared" si="236"/>
        <v>0</v>
      </c>
      <c r="L311" s="50">
        <f t="shared" si="236"/>
        <v>100000</v>
      </c>
      <c r="M311" s="335" t="e">
        <f t="shared" si="203"/>
        <v>#DIV/0!</v>
      </c>
      <c r="N311" s="329">
        <f t="shared" si="202"/>
        <v>100000</v>
      </c>
    </row>
    <row r="312" spans="1:14" ht="12.6">
      <c r="A312" s="67"/>
      <c r="B312" s="60">
        <v>50</v>
      </c>
      <c r="C312" s="61" t="s">
        <v>272</v>
      </c>
      <c r="D312" s="52"/>
      <c r="E312" s="143"/>
      <c r="F312" s="197"/>
      <c r="G312" s="197"/>
      <c r="H312" s="143">
        <f t="shared" ref="H312" si="237">+G312+F312</f>
        <v>0</v>
      </c>
      <c r="I312" s="197"/>
      <c r="J312" s="143">
        <f t="shared" ref="J312" si="238">+I312+H312</f>
        <v>0</v>
      </c>
      <c r="K312" s="143"/>
      <c r="L312" s="197"/>
      <c r="M312" s="335" t="e">
        <f t="shared" si="203"/>
        <v>#DIV/0!</v>
      </c>
      <c r="N312" s="329">
        <f t="shared" si="202"/>
        <v>0</v>
      </c>
    </row>
    <row r="313" spans="1:14" ht="12.6">
      <c r="A313" s="37"/>
      <c r="B313" s="38" t="s">
        <v>212</v>
      </c>
      <c r="C313" s="39" t="s">
        <v>347</v>
      </c>
      <c r="D313" s="52"/>
      <c r="E313" s="137"/>
      <c r="F313" s="137">
        <f>SUM(F314:F320)</f>
        <v>0</v>
      </c>
      <c r="G313" s="137">
        <f t="shared" ref="G313:L313" si="239">SUM(G314:G320)</f>
        <v>0</v>
      </c>
      <c r="H313" s="137">
        <f t="shared" si="239"/>
        <v>0</v>
      </c>
      <c r="I313" s="137">
        <f t="shared" si="239"/>
        <v>0</v>
      </c>
      <c r="J313" s="137">
        <f t="shared" si="239"/>
        <v>0</v>
      </c>
      <c r="K313" s="137">
        <f t="shared" si="239"/>
        <v>0</v>
      </c>
      <c r="L313" s="137">
        <f t="shared" si="239"/>
        <v>100000</v>
      </c>
      <c r="M313" s="335" t="e">
        <f t="shared" si="203"/>
        <v>#DIV/0!</v>
      </c>
      <c r="N313" s="329">
        <f t="shared" si="202"/>
        <v>100000</v>
      </c>
    </row>
    <row r="314" spans="1:14" ht="12.6">
      <c r="A314" s="37"/>
      <c r="B314" s="33">
        <v>5500</v>
      </c>
      <c r="C314" s="34" t="s">
        <v>327</v>
      </c>
      <c r="D314" s="52"/>
      <c r="E314" s="17"/>
      <c r="F314" s="226"/>
      <c r="G314" s="17"/>
      <c r="H314" s="17"/>
      <c r="I314" s="17"/>
      <c r="J314" s="17"/>
      <c r="K314" s="17"/>
      <c r="L314" s="226"/>
      <c r="M314" s="335" t="e">
        <f t="shared" si="203"/>
        <v>#DIV/0!</v>
      </c>
      <c r="N314" s="329">
        <f t="shared" si="202"/>
        <v>0</v>
      </c>
    </row>
    <row r="315" spans="1:14" ht="12.6">
      <c r="A315" s="37"/>
      <c r="B315" s="33">
        <v>5511</v>
      </c>
      <c r="C315" s="34" t="s">
        <v>219</v>
      </c>
      <c r="D315" s="52"/>
      <c r="E315" s="17"/>
      <c r="F315" s="226"/>
      <c r="G315" s="17"/>
      <c r="H315" s="17"/>
      <c r="I315" s="17"/>
      <c r="J315" s="17"/>
      <c r="K315" s="17"/>
      <c r="L315" s="226"/>
      <c r="M315" s="335" t="e">
        <f t="shared" si="203"/>
        <v>#DIV/0!</v>
      </c>
      <c r="N315" s="329">
        <f t="shared" si="202"/>
        <v>0</v>
      </c>
    </row>
    <row r="316" spans="1:14" ht="12.6">
      <c r="A316" s="37"/>
      <c r="B316" s="33">
        <v>5512</v>
      </c>
      <c r="C316" s="34" t="s">
        <v>344</v>
      </c>
      <c r="D316" s="52"/>
      <c r="E316" s="17"/>
      <c r="F316" s="226"/>
      <c r="G316" s="17"/>
      <c r="H316" s="17"/>
      <c r="I316" s="17"/>
      <c r="J316" s="17"/>
      <c r="K316" s="17"/>
      <c r="L316" s="226">
        <v>85000</v>
      </c>
      <c r="M316" s="335" t="e">
        <f t="shared" si="203"/>
        <v>#DIV/0!</v>
      </c>
      <c r="N316" s="329">
        <f t="shared" si="202"/>
        <v>85000</v>
      </c>
    </row>
    <row r="317" spans="1:14" ht="12.6">
      <c r="A317" s="37"/>
      <c r="B317" s="33">
        <v>5513</v>
      </c>
      <c r="C317" s="34" t="s">
        <v>254</v>
      </c>
      <c r="D317" s="52"/>
      <c r="E317" s="17"/>
      <c r="F317" s="226"/>
      <c r="G317" s="17"/>
      <c r="H317" s="17"/>
      <c r="I317" s="17"/>
      <c r="J317" s="17"/>
      <c r="K317" s="17"/>
      <c r="L317" s="226"/>
      <c r="M317" s="335" t="e">
        <f t="shared" si="203"/>
        <v>#DIV/0!</v>
      </c>
      <c r="N317" s="329">
        <f t="shared" si="202"/>
        <v>0</v>
      </c>
    </row>
    <row r="318" spans="1:14" ht="12.6">
      <c r="A318" s="37"/>
      <c r="B318" s="33">
        <v>5515</v>
      </c>
      <c r="C318" s="34" t="s">
        <v>257</v>
      </c>
      <c r="D318" s="52"/>
      <c r="E318" s="17"/>
      <c r="F318" s="226"/>
      <c r="G318" s="17"/>
      <c r="H318" s="17"/>
      <c r="I318" s="17"/>
      <c r="J318" s="17"/>
      <c r="K318" s="17"/>
      <c r="L318" s="226">
        <v>15000</v>
      </c>
      <c r="M318" s="335" t="e">
        <f t="shared" si="203"/>
        <v>#DIV/0!</v>
      </c>
      <c r="N318" s="329">
        <f t="shared" si="202"/>
        <v>15000</v>
      </c>
    </row>
    <row r="319" spans="1:14" ht="12.6">
      <c r="A319" s="37"/>
      <c r="B319" s="33">
        <v>5521</v>
      </c>
      <c r="C319" s="34" t="s">
        <v>353</v>
      </c>
      <c r="D319" s="52"/>
      <c r="E319" s="17"/>
      <c r="F319" s="226"/>
      <c r="G319" s="17"/>
      <c r="H319" s="17"/>
      <c r="I319" s="17"/>
      <c r="J319" s="17"/>
      <c r="K319" s="17"/>
      <c r="L319" s="226"/>
      <c r="M319" s="335" t="e">
        <f t="shared" si="203"/>
        <v>#DIV/0!</v>
      </c>
      <c r="N319" s="329">
        <f t="shared" si="202"/>
        <v>0</v>
      </c>
    </row>
    <row r="320" spans="1:14" ht="12.6">
      <c r="A320" s="37"/>
      <c r="B320" s="33">
        <v>5540</v>
      </c>
      <c r="C320" s="34" t="s">
        <v>348</v>
      </c>
      <c r="D320" s="52"/>
      <c r="E320" s="17"/>
      <c r="F320" s="226"/>
      <c r="G320" s="17"/>
      <c r="H320" s="17"/>
      <c r="I320" s="17"/>
      <c r="J320" s="17"/>
      <c r="K320" s="17"/>
      <c r="L320" s="226"/>
      <c r="M320" s="335" t="e">
        <f t="shared" si="203"/>
        <v>#DIV/0!</v>
      </c>
      <c r="N320" s="329">
        <f t="shared" si="202"/>
        <v>0</v>
      </c>
    </row>
    <row r="321" spans="1:14" ht="12.6">
      <c r="A321" s="28" t="s">
        <v>354</v>
      </c>
      <c r="B321" s="29">
        <v>6</v>
      </c>
      <c r="C321" s="30" t="s">
        <v>355</v>
      </c>
      <c r="D321" s="42">
        <v>234659</v>
      </c>
      <c r="E321" s="42">
        <v>252556</v>
      </c>
      <c r="F321" s="42">
        <f t="shared" ref="F321:K321" si="240">+F327+F339+F345+F378+F366</f>
        <v>361439</v>
      </c>
      <c r="G321" s="42">
        <f t="shared" si="240"/>
        <v>-3805</v>
      </c>
      <c r="H321" s="42">
        <f t="shared" si="240"/>
        <v>357634</v>
      </c>
      <c r="I321" s="42">
        <f t="shared" si="240"/>
        <v>-4900</v>
      </c>
      <c r="J321" s="42">
        <f t="shared" si="240"/>
        <v>352734</v>
      </c>
      <c r="K321" s="42">
        <f t="shared" si="240"/>
        <v>218709</v>
      </c>
      <c r="L321" s="42">
        <f t="shared" ref="L321" si="241">+L327+L339+L345+L378+L366</f>
        <v>344400</v>
      </c>
      <c r="M321" s="335">
        <f t="shared" si="203"/>
        <v>-2.3626868972086615E-2</v>
      </c>
      <c r="N321" s="330">
        <f t="shared" si="202"/>
        <v>-8334</v>
      </c>
    </row>
    <row r="322" spans="1:14" ht="12.6">
      <c r="A322" s="54"/>
      <c r="B322" s="54"/>
      <c r="C322" s="54" t="s">
        <v>356</v>
      </c>
      <c r="D322" s="54"/>
      <c r="E322" s="54">
        <v>252556</v>
      </c>
      <c r="F322" s="54">
        <f t="shared" ref="F322:H322" si="242">F324+F325+F323+F326</f>
        <v>361439</v>
      </c>
      <c r="G322" s="54">
        <f t="shared" si="242"/>
        <v>-3805</v>
      </c>
      <c r="H322" s="54">
        <f t="shared" si="242"/>
        <v>357634</v>
      </c>
      <c r="I322" s="54">
        <f t="shared" ref="I322:J322" si="243">I324+I325+I323+I326</f>
        <v>-4900</v>
      </c>
      <c r="J322" s="54">
        <f t="shared" si="243"/>
        <v>352734</v>
      </c>
      <c r="K322" s="54">
        <f t="shared" ref="K322:L322" si="244">K324+K325+K323+K326</f>
        <v>218709</v>
      </c>
      <c r="L322" s="54">
        <f t="shared" si="244"/>
        <v>344400</v>
      </c>
      <c r="M322" s="335">
        <f t="shared" si="203"/>
        <v>-2.3626868972086615E-2</v>
      </c>
      <c r="N322" s="330">
        <f t="shared" si="202"/>
        <v>-8334</v>
      </c>
    </row>
    <row r="323" spans="1:14" ht="14.1" customHeight="1">
      <c r="A323" s="141"/>
      <c r="B323" s="141">
        <v>45</v>
      </c>
      <c r="C323" s="141" t="s">
        <v>357</v>
      </c>
      <c r="D323" s="141"/>
      <c r="E323" s="141">
        <v>10000</v>
      </c>
      <c r="F323" s="141">
        <f t="shared" ref="F323:K323" si="245">F328+F346</f>
        <v>20000</v>
      </c>
      <c r="G323" s="141">
        <f t="shared" si="245"/>
        <v>0</v>
      </c>
      <c r="H323" s="141">
        <f t="shared" si="245"/>
        <v>20000</v>
      </c>
      <c r="I323" s="141">
        <f t="shared" si="245"/>
        <v>-2000</v>
      </c>
      <c r="J323" s="141">
        <f t="shared" si="245"/>
        <v>18000</v>
      </c>
      <c r="K323" s="141">
        <f t="shared" si="245"/>
        <v>10000</v>
      </c>
      <c r="L323" s="141">
        <f t="shared" ref="L323" si="246">L328+L346</f>
        <v>20000</v>
      </c>
      <c r="M323" s="335">
        <f t="shared" si="203"/>
        <v>0.1111111111111111</v>
      </c>
      <c r="N323" s="330">
        <f t="shared" si="202"/>
        <v>2000</v>
      </c>
    </row>
    <row r="324" spans="1:14" ht="14.1" customHeight="1">
      <c r="A324" s="143"/>
      <c r="B324" s="143">
        <v>50</v>
      </c>
      <c r="C324" s="143" t="s">
        <v>358</v>
      </c>
      <c r="D324" s="143"/>
      <c r="E324" s="143">
        <v>16763</v>
      </c>
      <c r="F324" s="143">
        <f t="shared" ref="F324:K324" si="247">F329+F367</f>
        <v>17633</v>
      </c>
      <c r="G324" s="143">
        <f t="shared" si="247"/>
        <v>0</v>
      </c>
      <c r="H324" s="143">
        <f t="shared" si="247"/>
        <v>17633</v>
      </c>
      <c r="I324" s="143">
        <f t="shared" si="247"/>
        <v>-2900</v>
      </c>
      <c r="J324" s="143">
        <f t="shared" si="247"/>
        <v>14733</v>
      </c>
      <c r="K324" s="143">
        <f t="shared" si="247"/>
        <v>12473</v>
      </c>
      <c r="L324" s="143">
        <f t="shared" ref="L324" si="248">L329+L367</f>
        <v>20900</v>
      </c>
      <c r="M324" s="335">
        <f t="shared" si="203"/>
        <v>0.4185841308626892</v>
      </c>
      <c r="N324" s="330">
        <f t="shared" si="202"/>
        <v>6167</v>
      </c>
    </row>
    <row r="325" spans="1:14" ht="14.1" customHeight="1">
      <c r="A325" s="137"/>
      <c r="B325" s="137">
        <v>55</v>
      </c>
      <c r="C325" s="137" t="s">
        <v>359</v>
      </c>
      <c r="D325" s="137"/>
      <c r="E325" s="137">
        <v>225793</v>
      </c>
      <c r="F325" s="226">
        <f t="shared" ref="F325:K325" si="249">F330+F340+F347+F368+F379</f>
        <v>323806</v>
      </c>
      <c r="G325" s="226">
        <f t="shared" si="249"/>
        <v>-3805</v>
      </c>
      <c r="H325" s="137">
        <f t="shared" si="249"/>
        <v>320001</v>
      </c>
      <c r="I325" s="226">
        <f t="shared" si="249"/>
        <v>0</v>
      </c>
      <c r="J325" s="137">
        <f t="shared" si="249"/>
        <v>320001</v>
      </c>
      <c r="K325" s="137">
        <f t="shared" si="249"/>
        <v>196236</v>
      </c>
      <c r="L325" s="226">
        <f t="shared" ref="L325" si="250">L330+L340+L347+L368+L379</f>
        <v>303500</v>
      </c>
      <c r="M325" s="335">
        <f t="shared" si="203"/>
        <v>-5.1565463857925445E-2</v>
      </c>
      <c r="N325" s="330">
        <f t="shared" si="202"/>
        <v>-16501</v>
      </c>
    </row>
    <row r="326" spans="1:14" ht="14.1" customHeight="1">
      <c r="A326" s="140"/>
      <c r="B326" s="140">
        <v>60</v>
      </c>
      <c r="C326" s="140" t="s">
        <v>360</v>
      </c>
      <c r="D326" s="140"/>
      <c r="E326" s="140">
        <v>0</v>
      </c>
      <c r="F326" s="140">
        <v>0</v>
      </c>
      <c r="G326" s="140">
        <v>0</v>
      </c>
      <c r="H326" s="140">
        <v>0</v>
      </c>
      <c r="I326" s="140">
        <v>0</v>
      </c>
      <c r="J326" s="140">
        <v>0</v>
      </c>
      <c r="K326" s="140"/>
      <c r="L326" s="140">
        <v>0</v>
      </c>
      <c r="M326" s="335" t="e">
        <f t="shared" si="203"/>
        <v>#DIV/0!</v>
      </c>
      <c r="N326" s="330">
        <f t="shared" ref="N326:N389" si="251">L326-J326</f>
        <v>0</v>
      </c>
    </row>
    <row r="327" spans="1:14" ht="14.1" customHeight="1">
      <c r="A327" s="45" t="s">
        <v>361</v>
      </c>
      <c r="B327" s="46"/>
      <c r="C327" s="47" t="s">
        <v>362</v>
      </c>
      <c r="D327" s="53">
        <v>17032</v>
      </c>
      <c r="E327" s="48">
        <v>13275</v>
      </c>
      <c r="F327" s="48">
        <f t="shared" ref="F327" si="252">+F329+F330</f>
        <v>20850</v>
      </c>
      <c r="G327" s="48">
        <f t="shared" ref="G327:I327" si="253">+G329+G330</f>
        <v>-5487</v>
      </c>
      <c r="H327" s="48">
        <f t="shared" ref="H327:J327" si="254">+H329+H330</f>
        <v>15363</v>
      </c>
      <c r="I327" s="48">
        <f t="shared" si="253"/>
        <v>0</v>
      </c>
      <c r="J327" s="48">
        <f t="shared" si="254"/>
        <v>15363</v>
      </c>
      <c r="K327" s="48">
        <f t="shared" ref="K327:L327" si="255">+K329+K330</f>
        <v>7561</v>
      </c>
      <c r="L327" s="48">
        <f t="shared" si="255"/>
        <v>13000</v>
      </c>
      <c r="M327" s="335">
        <f t="shared" si="203"/>
        <v>-0.15381110460196576</v>
      </c>
      <c r="N327" s="329">
        <f t="shared" si="251"/>
        <v>-2363</v>
      </c>
    </row>
    <row r="328" spans="1:14" ht="14.1" customHeight="1">
      <c r="A328" s="37"/>
      <c r="B328" s="38">
        <v>45</v>
      </c>
      <c r="C328" s="13" t="s">
        <v>363</v>
      </c>
      <c r="D328" s="52">
        <v>5000</v>
      </c>
      <c r="E328" s="140"/>
      <c r="F328" s="140"/>
      <c r="G328" s="140"/>
      <c r="H328" s="140"/>
      <c r="I328" s="140"/>
      <c r="J328" s="140"/>
      <c r="K328" s="140"/>
      <c r="L328" s="140"/>
      <c r="M328" s="335" t="e">
        <f t="shared" si="203"/>
        <v>#DIV/0!</v>
      </c>
      <c r="N328" s="329">
        <f t="shared" si="251"/>
        <v>0</v>
      </c>
    </row>
    <row r="329" spans="1:14" ht="12.6">
      <c r="A329" s="37"/>
      <c r="B329" s="38">
        <v>50</v>
      </c>
      <c r="C329" s="39" t="s">
        <v>272</v>
      </c>
      <c r="D329" s="51">
        <v>5602</v>
      </c>
      <c r="E329" s="143">
        <v>850</v>
      </c>
      <c r="F329" s="143">
        <v>850</v>
      </c>
      <c r="G329" s="143"/>
      <c r="H329" s="143">
        <f t="shared" ref="H329" si="256">+G329+F329</f>
        <v>850</v>
      </c>
      <c r="I329" s="143"/>
      <c r="J329" s="143">
        <f t="shared" ref="J329" si="257">+I329+H329</f>
        <v>850</v>
      </c>
      <c r="K329" s="143">
        <v>0</v>
      </c>
      <c r="L329" s="143"/>
      <c r="M329" s="335">
        <f t="shared" si="203"/>
        <v>-1</v>
      </c>
      <c r="N329" s="329">
        <f t="shared" si="251"/>
        <v>-850</v>
      </c>
    </row>
    <row r="330" spans="1:14" ht="12.6">
      <c r="A330" s="37"/>
      <c r="B330" s="38">
        <v>55</v>
      </c>
      <c r="C330" s="39" t="s">
        <v>347</v>
      </c>
      <c r="D330" s="52">
        <v>11430</v>
      </c>
      <c r="E330" s="137">
        <v>12425</v>
      </c>
      <c r="F330" s="137">
        <f>+F331+F335+F337+F336</f>
        <v>20000</v>
      </c>
      <c r="G330" s="137">
        <f>+G331+G335+G337+G336</f>
        <v>-5487</v>
      </c>
      <c r="H330" s="137">
        <f>+H331+H335+H337+H336+H338</f>
        <v>14513</v>
      </c>
      <c r="I330" s="137">
        <f t="shared" ref="I330:K330" si="258">+I331+I335+I337+I336+I338</f>
        <v>0</v>
      </c>
      <c r="J330" s="137">
        <f t="shared" si="258"/>
        <v>14513</v>
      </c>
      <c r="K330" s="137">
        <f t="shared" si="258"/>
        <v>7561</v>
      </c>
      <c r="L330" s="137">
        <f>+L331+L335+L337+L336+L338</f>
        <v>13000</v>
      </c>
      <c r="M330" s="335">
        <f t="shared" si="203"/>
        <v>-0.1042513608488941</v>
      </c>
      <c r="N330" s="329">
        <f t="shared" si="251"/>
        <v>-1513</v>
      </c>
    </row>
    <row r="331" spans="1:14" ht="14.1" customHeight="1">
      <c r="A331" s="37"/>
      <c r="B331" s="33">
        <v>5511</v>
      </c>
      <c r="C331" s="34" t="s">
        <v>213</v>
      </c>
      <c r="D331" s="52"/>
      <c r="E331" s="17">
        <v>0</v>
      </c>
      <c r="F331" s="226">
        <f t="shared" ref="F331" si="259">SUM(F332:F334)</f>
        <v>0</v>
      </c>
      <c r="G331" s="17"/>
      <c r="H331" s="17">
        <f t="shared" ref="H331" si="260">SUM(H332:H334)</f>
        <v>0</v>
      </c>
      <c r="I331" s="17"/>
      <c r="J331" s="17">
        <f>SUM(J332:J334)</f>
        <v>0</v>
      </c>
      <c r="K331" s="17">
        <f>SUM(K332:K334)</f>
        <v>0</v>
      </c>
      <c r="L331" s="226">
        <f t="shared" ref="L331" si="261">SUM(L332:L334)</f>
        <v>0</v>
      </c>
      <c r="M331" s="335" t="e">
        <f t="shared" si="203"/>
        <v>#DIV/0!</v>
      </c>
      <c r="N331" s="329">
        <f t="shared" si="251"/>
        <v>0</v>
      </c>
    </row>
    <row r="332" spans="1:14" s="150" customFormat="1" ht="0.6" hidden="1" customHeight="1">
      <c r="A332" s="157"/>
      <c r="B332" s="158"/>
      <c r="C332" s="146" t="s">
        <v>235</v>
      </c>
      <c r="D332" s="151"/>
      <c r="E332" s="147">
        <v>0</v>
      </c>
      <c r="F332" s="229">
        <v>0</v>
      </c>
      <c r="G332" s="147"/>
      <c r="H332" s="147">
        <f>+F332+G332</f>
        <v>0</v>
      </c>
      <c r="I332" s="17"/>
      <c r="J332" s="147">
        <f>+H332+I332</f>
        <v>0</v>
      </c>
      <c r="K332" s="147"/>
      <c r="L332" s="229"/>
      <c r="M332" s="335" t="e">
        <f t="shared" si="203"/>
        <v>#DIV/0!</v>
      </c>
      <c r="N332" s="329">
        <f t="shared" si="251"/>
        <v>0</v>
      </c>
    </row>
    <row r="333" spans="1:14" s="150" customFormat="1" ht="12.6" hidden="1">
      <c r="A333" s="157"/>
      <c r="B333" s="158"/>
      <c r="C333" s="156" t="s">
        <v>239</v>
      </c>
      <c r="D333" s="151"/>
      <c r="E333" s="147">
        <v>0</v>
      </c>
      <c r="F333" s="229">
        <v>0</v>
      </c>
      <c r="G333" s="147"/>
      <c r="H333" s="147">
        <f t="shared" ref="H333:H334" si="262">+F333+G333</f>
        <v>0</v>
      </c>
      <c r="I333" s="17"/>
      <c r="J333" s="147">
        <f t="shared" ref="J333:J334" si="263">+H333+I333</f>
        <v>0</v>
      </c>
      <c r="K333" s="147"/>
      <c r="L333" s="229"/>
      <c r="M333" s="335" t="e">
        <f t="shared" si="203"/>
        <v>#DIV/0!</v>
      </c>
      <c r="N333" s="329">
        <f t="shared" si="251"/>
        <v>0</v>
      </c>
    </row>
    <row r="334" spans="1:14" s="150" customFormat="1" ht="12.6" hidden="1">
      <c r="A334" s="157"/>
      <c r="B334" s="158"/>
      <c r="C334" s="146" t="s">
        <v>364</v>
      </c>
      <c r="D334" s="151"/>
      <c r="E334" s="147">
        <v>0</v>
      </c>
      <c r="F334" s="229">
        <v>0</v>
      </c>
      <c r="G334" s="147"/>
      <c r="H334" s="147">
        <f t="shared" si="262"/>
        <v>0</v>
      </c>
      <c r="I334" s="17"/>
      <c r="J334" s="147">
        <f t="shared" si="263"/>
        <v>0</v>
      </c>
      <c r="K334" s="147"/>
      <c r="L334" s="229"/>
      <c r="M334" s="335" t="e">
        <f t="shared" si="203"/>
        <v>#DIV/0!</v>
      </c>
      <c r="N334" s="329">
        <f t="shared" si="251"/>
        <v>0</v>
      </c>
    </row>
    <row r="335" spans="1:14" ht="12.6">
      <c r="A335" s="32"/>
      <c r="B335" s="33">
        <v>5512</v>
      </c>
      <c r="C335" s="40" t="s">
        <v>344</v>
      </c>
      <c r="D335" s="52"/>
      <c r="E335" s="17">
        <v>12425</v>
      </c>
      <c r="F335" s="226">
        <v>20000</v>
      </c>
      <c r="G335" s="17">
        <v>-5487</v>
      </c>
      <c r="H335" s="17">
        <f>+F335+G335</f>
        <v>14513</v>
      </c>
      <c r="I335" s="17">
        <v>-600</v>
      </c>
      <c r="J335" s="17">
        <f>+H335+I335</f>
        <v>13913</v>
      </c>
      <c r="K335" s="17">
        <v>5592</v>
      </c>
      <c r="L335" s="226">
        <v>10000</v>
      </c>
      <c r="M335" s="335">
        <f t="shared" si="203"/>
        <v>-0.28124775389923096</v>
      </c>
      <c r="N335" s="329">
        <f t="shared" si="251"/>
        <v>-3913</v>
      </c>
    </row>
    <row r="336" spans="1:14" ht="12.6">
      <c r="A336" s="32"/>
      <c r="B336" s="33">
        <v>5513</v>
      </c>
      <c r="C336" s="40" t="s">
        <v>254</v>
      </c>
      <c r="D336" s="52"/>
      <c r="E336" s="17"/>
      <c r="F336" s="226"/>
      <c r="G336" s="17"/>
      <c r="H336" s="17">
        <f>+F336+G336</f>
        <v>0</v>
      </c>
      <c r="I336" s="17"/>
      <c r="J336" s="17">
        <f>+H336+I336</f>
        <v>0</v>
      </c>
      <c r="K336" s="17"/>
      <c r="L336" s="226"/>
      <c r="M336" s="335" t="e">
        <f t="shared" si="203"/>
        <v>#DIV/0!</v>
      </c>
      <c r="N336" s="329">
        <f t="shared" si="251"/>
        <v>0</v>
      </c>
    </row>
    <row r="337" spans="1:14" ht="14.1" customHeight="1">
      <c r="A337" s="32"/>
      <c r="B337" s="33">
        <v>5515</v>
      </c>
      <c r="C337" s="40" t="s">
        <v>257</v>
      </c>
      <c r="D337" s="52"/>
      <c r="E337" s="17">
        <v>0</v>
      </c>
      <c r="F337" s="226">
        <v>0</v>
      </c>
      <c r="G337" s="17"/>
      <c r="H337" s="17">
        <f>+F337+G337</f>
        <v>0</v>
      </c>
      <c r="I337" s="17"/>
      <c r="J337" s="17">
        <f>+H337+I337</f>
        <v>0</v>
      </c>
      <c r="K337" s="17">
        <v>418</v>
      </c>
      <c r="L337" s="226">
        <v>1300</v>
      </c>
      <c r="M337" s="335" t="e">
        <f t="shared" si="203"/>
        <v>#DIV/0!</v>
      </c>
      <c r="N337" s="329">
        <f t="shared" si="251"/>
        <v>1300</v>
      </c>
    </row>
    <row r="338" spans="1:14" ht="14.1" customHeight="1">
      <c r="A338" s="32"/>
      <c r="B338" s="33">
        <v>5516</v>
      </c>
      <c r="C338" s="40" t="s">
        <v>365</v>
      </c>
      <c r="D338" s="52"/>
      <c r="E338" s="17">
        <v>0</v>
      </c>
      <c r="F338" s="226">
        <v>0</v>
      </c>
      <c r="G338" s="17"/>
      <c r="H338" s="17">
        <f>+F338+G338</f>
        <v>0</v>
      </c>
      <c r="I338" s="17">
        <v>600</v>
      </c>
      <c r="J338" s="17">
        <f>+H338+I338</f>
        <v>600</v>
      </c>
      <c r="K338" s="17">
        <v>1551</v>
      </c>
      <c r="L338" s="226">
        <v>1700</v>
      </c>
      <c r="M338" s="335">
        <f t="shared" si="203"/>
        <v>1.8333333333333333</v>
      </c>
      <c r="N338" s="329">
        <f t="shared" si="251"/>
        <v>1100</v>
      </c>
    </row>
    <row r="339" spans="1:14" s="7" customFormat="1" ht="14.1" customHeight="1">
      <c r="A339" s="45" t="s">
        <v>366</v>
      </c>
      <c r="B339" s="46"/>
      <c r="C339" s="47" t="s">
        <v>367</v>
      </c>
      <c r="D339" s="53">
        <v>100000</v>
      </c>
      <c r="E339" s="50">
        <v>155000</v>
      </c>
      <c r="F339" s="50">
        <f t="shared" ref="F339:L339" si="264">+F340</f>
        <v>220000</v>
      </c>
      <c r="G339" s="50">
        <f t="shared" si="264"/>
        <v>-3000</v>
      </c>
      <c r="H339" s="50">
        <f t="shared" si="264"/>
        <v>217000</v>
      </c>
      <c r="I339" s="50">
        <f t="shared" si="264"/>
        <v>0</v>
      </c>
      <c r="J339" s="50">
        <f t="shared" si="264"/>
        <v>217000</v>
      </c>
      <c r="K339" s="50">
        <f t="shared" si="264"/>
        <v>119006</v>
      </c>
      <c r="L339" s="50">
        <f t="shared" si="264"/>
        <v>180000</v>
      </c>
      <c r="M339" s="335">
        <f t="shared" si="203"/>
        <v>-0.17050691244239632</v>
      </c>
      <c r="N339" s="329">
        <f t="shared" si="251"/>
        <v>-37000</v>
      </c>
    </row>
    <row r="340" spans="1:14" s="8" customFormat="1" ht="14.1" customHeight="1">
      <c r="A340" s="32"/>
      <c r="B340" s="33" t="s">
        <v>212</v>
      </c>
      <c r="C340" s="34" t="s">
        <v>368</v>
      </c>
      <c r="D340" s="52"/>
      <c r="E340" s="137">
        <v>155000</v>
      </c>
      <c r="F340" s="137">
        <f t="shared" ref="F340:K340" si="265">F341+F344</f>
        <v>220000</v>
      </c>
      <c r="G340" s="137">
        <f t="shared" si="265"/>
        <v>-3000</v>
      </c>
      <c r="H340" s="137">
        <f t="shared" si="265"/>
        <v>217000</v>
      </c>
      <c r="I340" s="137">
        <f t="shared" si="265"/>
        <v>0</v>
      </c>
      <c r="J340" s="137">
        <f t="shared" si="265"/>
        <v>217000</v>
      </c>
      <c r="K340" s="137">
        <f t="shared" si="265"/>
        <v>119006</v>
      </c>
      <c r="L340" s="137">
        <f t="shared" ref="L340" si="266">L341+L344</f>
        <v>180000</v>
      </c>
      <c r="M340" s="335">
        <f t="shared" si="203"/>
        <v>-0.17050691244239632</v>
      </c>
      <c r="N340" s="329">
        <f t="shared" si="251"/>
        <v>-37000</v>
      </c>
    </row>
    <row r="341" spans="1:14" ht="12.6">
      <c r="A341" s="32"/>
      <c r="B341" s="33">
        <v>5511</v>
      </c>
      <c r="C341" s="34" t="s">
        <v>213</v>
      </c>
      <c r="D341" s="52"/>
      <c r="E341" s="17">
        <v>0</v>
      </c>
      <c r="F341" s="226">
        <f t="shared" ref="F341" si="267">SUM(F342:F343)</f>
        <v>0</v>
      </c>
      <c r="G341" s="17"/>
      <c r="H341" s="17">
        <f t="shared" ref="H341:L341" si="268">SUM(H342:H343)</f>
        <v>0</v>
      </c>
      <c r="I341" s="17"/>
      <c r="J341" s="17">
        <f t="shared" si="268"/>
        <v>0</v>
      </c>
      <c r="K341" s="17">
        <f t="shared" si="268"/>
        <v>305</v>
      </c>
      <c r="L341" s="17">
        <f t="shared" si="268"/>
        <v>0</v>
      </c>
      <c r="M341" s="335" t="e">
        <f t="shared" si="203"/>
        <v>#DIV/0!</v>
      </c>
      <c r="N341" s="329">
        <f t="shared" si="251"/>
        <v>0</v>
      </c>
    </row>
    <row r="342" spans="1:14" s="150" customFormat="1" ht="12.6">
      <c r="A342" s="157"/>
      <c r="B342" s="158"/>
      <c r="C342" s="146" t="s">
        <v>235</v>
      </c>
      <c r="D342" s="151"/>
      <c r="E342" s="147">
        <v>0</v>
      </c>
      <c r="F342" s="229">
        <v>0</v>
      </c>
      <c r="G342" s="147"/>
      <c r="H342" s="147">
        <f>+G342+F342</f>
        <v>0</v>
      </c>
      <c r="I342" s="17"/>
      <c r="J342" s="147">
        <f>+I342+H342</f>
        <v>0</v>
      </c>
      <c r="K342" s="147"/>
      <c r="L342" s="229">
        <v>0</v>
      </c>
      <c r="M342" s="335" t="e">
        <f t="shared" si="203"/>
        <v>#DIV/0!</v>
      </c>
      <c r="N342" s="329">
        <f t="shared" si="251"/>
        <v>0</v>
      </c>
    </row>
    <row r="343" spans="1:14" s="150" customFormat="1" ht="12.6">
      <c r="A343" s="157"/>
      <c r="B343" s="158"/>
      <c r="C343" s="146" t="s">
        <v>364</v>
      </c>
      <c r="D343" s="151"/>
      <c r="E343" s="147">
        <v>0</v>
      </c>
      <c r="F343" s="229">
        <v>0</v>
      </c>
      <c r="G343" s="147"/>
      <c r="H343" s="147">
        <f t="shared" ref="H343:H344" si="269">+G343+F343</f>
        <v>0</v>
      </c>
      <c r="I343" s="17"/>
      <c r="J343" s="147">
        <f t="shared" ref="J343:J344" si="270">+I343+H343</f>
        <v>0</v>
      </c>
      <c r="K343" s="147">
        <v>305</v>
      </c>
      <c r="L343" s="229">
        <v>0</v>
      </c>
      <c r="M343" s="335" t="e">
        <f t="shared" si="203"/>
        <v>#DIV/0!</v>
      </c>
      <c r="N343" s="329">
        <f t="shared" si="251"/>
        <v>0</v>
      </c>
    </row>
    <row r="344" spans="1:14" ht="12.6">
      <c r="A344" s="32"/>
      <c r="B344" s="33">
        <v>5512</v>
      </c>
      <c r="C344" s="34" t="s">
        <v>344</v>
      </c>
      <c r="D344" s="52">
        <v>100000</v>
      </c>
      <c r="E344" s="17">
        <v>155000</v>
      </c>
      <c r="F344" s="226">
        <v>220000</v>
      </c>
      <c r="G344" s="17">
        <v>-3000</v>
      </c>
      <c r="H344" s="17">
        <f t="shared" si="269"/>
        <v>217000</v>
      </c>
      <c r="I344" s="255">
        <v>0</v>
      </c>
      <c r="J344" s="17">
        <f t="shared" si="270"/>
        <v>217000</v>
      </c>
      <c r="K344" s="17">
        <v>118701</v>
      </c>
      <c r="L344" s="226">
        <v>180000</v>
      </c>
      <c r="M344" s="335">
        <f t="shared" si="203"/>
        <v>-0.17050691244239632</v>
      </c>
      <c r="N344" s="329">
        <f t="shared" si="251"/>
        <v>-37000</v>
      </c>
    </row>
    <row r="345" spans="1:14" ht="14.1" customHeight="1">
      <c r="A345" s="45" t="s">
        <v>369</v>
      </c>
      <c r="B345" s="46"/>
      <c r="C345" s="47" t="s">
        <v>370</v>
      </c>
      <c r="D345" s="53">
        <v>41500</v>
      </c>
      <c r="E345" s="50">
        <v>36333</v>
      </c>
      <c r="F345" s="50">
        <f t="shared" ref="F345" si="271">+F346+F347</f>
        <v>50686</v>
      </c>
      <c r="G345" s="50">
        <f t="shared" ref="G345:H345" si="272">+G346+G347</f>
        <v>1682</v>
      </c>
      <c r="H345" s="50">
        <f t="shared" si="272"/>
        <v>52368</v>
      </c>
      <c r="I345" s="50">
        <f t="shared" ref="I345:J345" si="273">+I346+I347</f>
        <v>-2000</v>
      </c>
      <c r="J345" s="50">
        <f t="shared" si="273"/>
        <v>50368</v>
      </c>
      <c r="K345" s="50">
        <f t="shared" ref="K345:L345" si="274">+K346+K347</f>
        <v>42089</v>
      </c>
      <c r="L345" s="50">
        <f t="shared" si="274"/>
        <v>67000</v>
      </c>
      <c r="M345" s="335">
        <f t="shared" ref="M345:M410" si="275">(L345-J345)/J345</f>
        <v>0.33020965692503179</v>
      </c>
      <c r="N345" s="329">
        <f t="shared" si="251"/>
        <v>16632</v>
      </c>
    </row>
    <row r="346" spans="1:14" ht="14.1" customHeight="1">
      <c r="A346" s="37"/>
      <c r="B346" s="38">
        <v>45</v>
      </c>
      <c r="C346" s="13" t="s">
        <v>371</v>
      </c>
      <c r="D346" s="52">
        <v>5000</v>
      </c>
      <c r="E346" s="140">
        <v>10000</v>
      </c>
      <c r="F346" s="140">
        <v>20000</v>
      </c>
      <c r="G346" s="140"/>
      <c r="H346" s="140">
        <f>+F346+G346</f>
        <v>20000</v>
      </c>
      <c r="I346" s="225">
        <f>-8000+6000</f>
        <v>-2000</v>
      </c>
      <c r="J346" s="140">
        <f>+H346+I346</f>
        <v>18000</v>
      </c>
      <c r="K346" s="140">
        <v>10000</v>
      </c>
      <c r="L346" s="140">
        <v>20000</v>
      </c>
      <c r="M346" s="335">
        <f t="shared" si="275"/>
        <v>0.1111111111111111</v>
      </c>
      <c r="N346" s="329">
        <f t="shared" si="251"/>
        <v>2000</v>
      </c>
    </row>
    <row r="347" spans="1:14" ht="14.1" customHeight="1">
      <c r="A347" s="32"/>
      <c r="B347" s="33">
        <v>55</v>
      </c>
      <c r="C347" s="58" t="s">
        <v>213</v>
      </c>
      <c r="D347" s="52">
        <v>36500</v>
      </c>
      <c r="E347" s="137">
        <v>26333</v>
      </c>
      <c r="F347" s="137">
        <f t="shared" ref="F347" si="276">+F348+F360+F361+F363+F364+F365</f>
        <v>30686</v>
      </c>
      <c r="G347" s="137">
        <f t="shared" ref="G347:H347" si="277">+G348+G360+G361+G363+G364+G365</f>
        <v>1682</v>
      </c>
      <c r="H347" s="137">
        <f t="shared" si="277"/>
        <v>32368</v>
      </c>
      <c r="I347" s="137">
        <f t="shared" ref="I347" si="278">+I348+I360+I361+I363+I364+I365</f>
        <v>0</v>
      </c>
      <c r="J347" s="137">
        <f>+J348+J360+J361+J363+J364+J365+J362</f>
        <v>32368</v>
      </c>
      <c r="K347" s="137">
        <f>+K348+K360+K361+K363+K364+K365+K362</f>
        <v>32089</v>
      </c>
      <c r="L347" s="137">
        <f>+L348+L360+L361+L363+L364+L365+L362</f>
        <v>47000</v>
      </c>
      <c r="M347" s="335">
        <f t="shared" si="275"/>
        <v>0.45205140879881367</v>
      </c>
      <c r="N347" s="329">
        <f t="shared" si="251"/>
        <v>14632</v>
      </c>
    </row>
    <row r="348" spans="1:14" ht="14.1" customHeight="1">
      <c r="A348" s="32"/>
      <c r="B348" s="33">
        <v>5511</v>
      </c>
      <c r="C348" s="34" t="s">
        <v>219</v>
      </c>
      <c r="D348" s="52"/>
      <c r="E348" s="17">
        <v>23000</v>
      </c>
      <c r="F348" s="224">
        <f>SUM(F349:F358)</f>
        <v>29986</v>
      </c>
      <c r="G348" s="95">
        <f t="shared" ref="G348:I348" si="279">SUM(G349:G359)</f>
        <v>1682</v>
      </c>
      <c r="H348" s="95">
        <f t="shared" si="279"/>
        <v>31668</v>
      </c>
      <c r="I348" s="95">
        <f t="shared" si="279"/>
        <v>0</v>
      </c>
      <c r="J348" s="95">
        <f>SUM(J349:J359)</f>
        <v>31668</v>
      </c>
      <c r="K348" s="95">
        <f t="shared" ref="K348:L348" si="280">SUM(K349:K359)</f>
        <v>31377</v>
      </c>
      <c r="L348" s="95">
        <f t="shared" si="280"/>
        <v>45950</v>
      </c>
      <c r="M348" s="335">
        <f t="shared" si="275"/>
        <v>0.45099153719843377</v>
      </c>
      <c r="N348" s="329">
        <f t="shared" si="251"/>
        <v>14282</v>
      </c>
    </row>
    <row r="349" spans="1:14" s="150" customFormat="1" ht="14.1" customHeight="1">
      <c r="A349" s="157"/>
      <c r="B349" s="158">
        <v>551130</v>
      </c>
      <c r="C349" s="156" t="s">
        <v>233</v>
      </c>
      <c r="D349" s="151"/>
      <c r="E349" s="147"/>
      <c r="F349" s="230">
        <v>0</v>
      </c>
      <c r="G349" s="147"/>
      <c r="H349" s="182">
        <f t="shared" ref="H349:H358" si="281">+G349+F349</f>
        <v>0</v>
      </c>
      <c r="I349" s="147"/>
      <c r="J349" s="182">
        <f t="shared" ref="J349:J358" si="282">+I349+H349</f>
        <v>0</v>
      </c>
      <c r="K349" s="182">
        <v>89</v>
      </c>
      <c r="L349" s="229">
        <v>0</v>
      </c>
      <c r="M349" s="335" t="e">
        <f t="shared" si="275"/>
        <v>#DIV/0!</v>
      </c>
      <c r="N349" s="329">
        <f t="shared" si="251"/>
        <v>0</v>
      </c>
    </row>
    <row r="350" spans="1:14" s="150" customFormat="1" ht="14.1" customHeight="1">
      <c r="A350" s="157"/>
      <c r="B350" s="158">
        <v>551131</v>
      </c>
      <c r="C350" s="156" t="s">
        <v>235</v>
      </c>
      <c r="D350" s="147"/>
      <c r="E350" s="147"/>
      <c r="F350" s="230">
        <v>11600</v>
      </c>
      <c r="G350" s="147"/>
      <c r="H350" s="182">
        <f t="shared" si="281"/>
        <v>11600</v>
      </c>
      <c r="I350" s="147"/>
      <c r="J350" s="182">
        <f t="shared" si="282"/>
        <v>11600</v>
      </c>
      <c r="K350" s="182">
        <v>12254</v>
      </c>
      <c r="L350" s="229">
        <v>16700</v>
      </c>
      <c r="M350" s="335">
        <f t="shared" si="275"/>
        <v>0.43965517241379309</v>
      </c>
      <c r="N350" s="329">
        <f t="shared" si="251"/>
        <v>5100</v>
      </c>
    </row>
    <row r="351" spans="1:14" s="150" customFormat="1" ht="14.1" customHeight="1">
      <c r="A351" s="157"/>
      <c r="B351" s="158">
        <v>551132</v>
      </c>
      <c r="C351" s="156" t="s">
        <v>237</v>
      </c>
      <c r="D351" s="147"/>
      <c r="E351" s="147"/>
      <c r="F351" s="230">
        <v>1600</v>
      </c>
      <c r="G351" s="147">
        <v>200</v>
      </c>
      <c r="H351" s="182">
        <f t="shared" si="281"/>
        <v>1800</v>
      </c>
      <c r="I351" s="147"/>
      <c r="J351" s="182">
        <f t="shared" si="282"/>
        <v>1800</v>
      </c>
      <c r="K351" s="182">
        <v>1478</v>
      </c>
      <c r="L351" s="229">
        <v>2000</v>
      </c>
      <c r="M351" s="335">
        <f t="shared" si="275"/>
        <v>0.1111111111111111</v>
      </c>
      <c r="N351" s="329">
        <f t="shared" si="251"/>
        <v>200</v>
      </c>
    </row>
    <row r="352" spans="1:14" s="150" customFormat="1" ht="14.1" customHeight="1">
      <c r="A352" s="157"/>
      <c r="B352" s="158">
        <v>551133</v>
      </c>
      <c r="C352" s="156" t="s">
        <v>239</v>
      </c>
      <c r="D352" s="147"/>
      <c r="E352" s="147"/>
      <c r="F352" s="230">
        <v>600</v>
      </c>
      <c r="G352" s="147"/>
      <c r="H352" s="182">
        <f t="shared" si="281"/>
        <v>600</v>
      </c>
      <c r="I352" s="147">
        <v>1000</v>
      </c>
      <c r="J352" s="182">
        <f t="shared" si="282"/>
        <v>1600</v>
      </c>
      <c r="K352" s="182">
        <v>2077</v>
      </c>
      <c r="L352" s="229">
        <v>2000</v>
      </c>
      <c r="M352" s="335">
        <f t="shared" si="275"/>
        <v>0.25</v>
      </c>
      <c r="N352" s="329">
        <f t="shared" si="251"/>
        <v>400</v>
      </c>
    </row>
    <row r="353" spans="1:14" s="150" customFormat="1" ht="14.1" customHeight="1">
      <c r="A353" s="157"/>
      <c r="B353" s="158">
        <v>551134</v>
      </c>
      <c r="C353" s="156" t="s">
        <v>241</v>
      </c>
      <c r="D353" s="147"/>
      <c r="E353" s="147"/>
      <c r="F353" s="230">
        <v>2500</v>
      </c>
      <c r="G353" s="147"/>
      <c r="H353" s="182">
        <f t="shared" si="281"/>
        <v>2500</v>
      </c>
      <c r="I353" s="147">
        <v>-1090</v>
      </c>
      <c r="J353" s="182">
        <f t="shared" si="282"/>
        <v>1410</v>
      </c>
      <c r="K353" s="182">
        <v>246</v>
      </c>
      <c r="L353" s="229">
        <v>600</v>
      </c>
      <c r="M353" s="335">
        <f t="shared" si="275"/>
        <v>-0.57446808510638303</v>
      </c>
      <c r="N353" s="329">
        <f t="shared" si="251"/>
        <v>-810</v>
      </c>
    </row>
    <row r="354" spans="1:14" s="150" customFormat="1" ht="14.1" customHeight="1">
      <c r="A354" s="157"/>
      <c r="B354" s="158">
        <v>551135</v>
      </c>
      <c r="C354" s="156" t="s">
        <v>243</v>
      </c>
      <c r="D354" s="147"/>
      <c r="E354" s="147"/>
      <c r="F354" s="230">
        <v>300</v>
      </c>
      <c r="G354" s="147"/>
      <c r="H354" s="182">
        <f t="shared" si="281"/>
        <v>300</v>
      </c>
      <c r="I354" s="147"/>
      <c r="J354" s="182">
        <f t="shared" si="282"/>
        <v>300</v>
      </c>
      <c r="K354" s="182">
        <v>235</v>
      </c>
      <c r="L354" s="229">
        <v>400</v>
      </c>
      <c r="M354" s="335">
        <f t="shared" si="275"/>
        <v>0.33333333333333331</v>
      </c>
      <c r="N354" s="329">
        <f t="shared" si="251"/>
        <v>100</v>
      </c>
    </row>
    <row r="355" spans="1:14" s="150" customFormat="1" ht="14.1" customHeight="1">
      <c r="A355" s="157"/>
      <c r="B355" s="158">
        <v>551136</v>
      </c>
      <c r="C355" s="156" t="s">
        <v>364</v>
      </c>
      <c r="D355" s="147"/>
      <c r="E355" s="147"/>
      <c r="F355" s="230">
        <v>5000</v>
      </c>
      <c r="G355" s="147"/>
      <c r="H355" s="182">
        <f t="shared" si="281"/>
        <v>5000</v>
      </c>
      <c r="I355" s="147">
        <v>-2000</v>
      </c>
      <c r="J355" s="182">
        <f t="shared" si="282"/>
        <v>3000</v>
      </c>
      <c r="K355" s="182">
        <v>4505</v>
      </c>
      <c r="L355" s="229">
        <v>7000</v>
      </c>
      <c r="M355" s="335">
        <f t="shared" si="275"/>
        <v>1.3333333333333333</v>
      </c>
      <c r="N355" s="329">
        <f t="shared" si="251"/>
        <v>4000</v>
      </c>
    </row>
    <row r="356" spans="1:14" s="150" customFormat="1" ht="14.1" customHeight="1">
      <c r="A356" s="157"/>
      <c r="B356" s="158">
        <v>551137</v>
      </c>
      <c r="C356" s="156" t="s">
        <v>247</v>
      </c>
      <c r="D356" s="147"/>
      <c r="E356" s="147"/>
      <c r="F356" s="230">
        <v>86</v>
      </c>
      <c r="G356" s="147"/>
      <c r="H356" s="182">
        <f t="shared" si="281"/>
        <v>86</v>
      </c>
      <c r="I356" s="147">
        <v>490</v>
      </c>
      <c r="J356" s="182">
        <f t="shared" si="282"/>
        <v>576</v>
      </c>
      <c r="K356" s="292">
        <v>431</v>
      </c>
      <c r="L356" s="229">
        <v>600</v>
      </c>
      <c r="M356" s="335">
        <f t="shared" si="275"/>
        <v>4.1666666666666664E-2</v>
      </c>
      <c r="N356" s="329">
        <f t="shared" si="251"/>
        <v>24</v>
      </c>
    </row>
    <row r="357" spans="1:14" s="150" customFormat="1" ht="14.1" customHeight="1">
      <c r="A357" s="157"/>
      <c r="B357" s="158"/>
      <c r="C357" s="156" t="s">
        <v>372</v>
      </c>
      <c r="D357" s="151"/>
      <c r="E357" s="147"/>
      <c r="F357" s="230"/>
      <c r="G357" s="147"/>
      <c r="H357" s="182">
        <f t="shared" si="281"/>
        <v>0</v>
      </c>
      <c r="I357" s="147"/>
      <c r="J357" s="182">
        <f t="shared" si="282"/>
        <v>0</v>
      </c>
      <c r="K357" s="182"/>
      <c r="L357" s="229"/>
      <c r="M357" s="335" t="e">
        <f t="shared" si="275"/>
        <v>#DIV/0!</v>
      </c>
      <c r="N357" s="329">
        <f t="shared" si="251"/>
        <v>0</v>
      </c>
    </row>
    <row r="358" spans="1:14" s="150" customFormat="1" ht="14.1" customHeight="1">
      <c r="A358" s="157"/>
      <c r="B358" s="158"/>
      <c r="C358" s="156" t="s">
        <v>373</v>
      </c>
      <c r="D358" s="151"/>
      <c r="E358" s="147"/>
      <c r="F358" s="230">
        <v>8300</v>
      </c>
      <c r="G358" s="147"/>
      <c r="H358" s="182">
        <f t="shared" si="281"/>
        <v>8300</v>
      </c>
      <c r="I358" s="320">
        <v>1600</v>
      </c>
      <c r="J358" s="182">
        <f t="shared" si="282"/>
        <v>9900</v>
      </c>
      <c r="K358" s="182">
        <v>10062</v>
      </c>
      <c r="L358" s="229">
        <v>15000</v>
      </c>
      <c r="M358" s="335">
        <f t="shared" si="275"/>
        <v>0.51515151515151514</v>
      </c>
      <c r="N358" s="329">
        <f t="shared" si="251"/>
        <v>5100</v>
      </c>
    </row>
    <row r="359" spans="1:14" s="150" customFormat="1" ht="11.45">
      <c r="A359" s="176"/>
      <c r="B359" s="177"/>
      <c r="C359" s="178" t="s">
        <v>374</v>
      </c>
      <c r="D359" s="179"/>
      <c r="E359" s="182"/>
      <c r="F359" s="227"/>
      <c r="G359" s="243">
        <v>1482</v>
      </c>
      <c r="H359" s="182">
        <f>+G359+F359</f>
        <v>1482</v>
      </c>
      <c r="I359" s="147"/>
      <c r="J359" s="182">
        <f>+I359+H359</f>
        <v>1482</v>
      </c>
      <c r="K359" s="182"/>
      <c r="L359" s="227">
        <v>1650</v>
      </c>
      <c r="M359" s="335">
        <f t="shared" si="275"/>
        <v>0.11336032388663968</v>
      </c>
      <c r="N359" s="329">
        <f t="shared" si="251"/>
        <v>168</v>
      </c>
    </row>
    <row r="360" spans="1:14" ht="12.6">
      <c r="A360" s="157"/>
      <c r="B360" s="33">
        <v>5512</v>
      </c>
      <c r="C360" s="34" t="s">
        <v>344</v>
      </c>
      <c r="D360" s="52"/>
      <c r="E360" s="17">
        <v>102</v>
      </c>
      <c r="F360" s="224">
        <v>0</v>
      </c>
      <c r="G360" s="17"/>
      <c r="H360" s="17">
        <f t="shared" ref="H360:H365" si="283">+G360+F360</f>
        <v>0</v>
      </c>
      <c r="I360" s="17"/>
      <c r="J360" s="17">
        <f t="shared" ref="J360:J365" si="284">+I360+H360</f>
        <v>0</v>
      </c>
      <c r="K360" s="17"/>
      <c r="L360" s="226"/>
      <c r="M360" s="335" t="e">
        <f t="shared" si="275"/>
        <v>#DIV/0!</v>
      </c>
      <c r="N360" s="329">
        <f t="shared" si="251"/>
        <v>0</v>
      </c>
    </row>
    <row r="361" spans="1:14" ht="12.6">
      <c r="A361" s="157"/>
      <c r="B361" s="33">
        <v>5513</v>
      </c>
      <c r="C361" s="34" t="s">
        <v>254</v>
      </c>
      <c r="D361" s="52"/>
      <c r="E361" s="17">
        <v>0</v>
      </c>
      <c r="F361" s="224">
        <v>0</v>
      </c>
      <c r="G361" s="17"/>
      <c r="H361" s="17">
        <f t="shared" si="283"/>
        <v>0</v>
      </c>
      <c r="I361" s="17"/>
      <c r="J361" s="17">
        <f t="shared" si="284"/>
        <v>0</v>
      </c>
      <c r="K361" s="17"/>
      <c r="L361" s="226"/>
      <c r="M361" s="335" t="e">
        <f t="shared" si="275"/>
        <v>#DIV/0!</v>
      </c>
      <c r="N361" s="329">
        <f t="shared" si="251"/>
        <v>0</v>
      </c>
    </row>
    <row r="362" spans="1:14" ht="12.6">
      <c r="A362" s="157"/>
      <c r="B362" s="33">
        <v>5514</v>
      </c>
      <c r="C362" s="34" t="s">
        <v>221</v>
      </c>
      <c r="D362" s="52"/>
      <c r="E362" s="17"/>
      <c r="F362" s="224"/>
      <c r="G362" s="17"/>
      <c r="H362" s="17"/>
      <c r="I362" s="17"/>
      <c r="J362" s="17"/>
      <c r="K362" s="17">
        <v>260</v>
      </c>
      <c r="L362" s="226">
        <v>250</v>
      </c>
      <c r="M362" s="335"/>
      <c r="N362" s="329">
        <f t="shared" si="251"/>
        <v>250</v>
      </c>
    </row>
    <row r="363" spans="1:14" ht="12.6">
      <c r="A363" s="157"/>
      <c r="B363" s="33">
        <v>5515</v>
      </c>
      <c r="C363" s="34" t="s">
        <v>257</v>
      </c>
      <c r="D363" s="52"/>
      <c r="E363" s="17">
        <v>262</v>
      </c>
      <c r="F363" s="224">
        <v>300</v>
      </c>
      <c r="G363" s="17"/>
      <c r="H363" s="17">
        <f t="shared" si="283"/>
        <v>300</v>
      </c>
      <c r="I363" s="17"/>
      <c r="J363" s="17">
        <f t="shared" si="284"/>
        <v>300</v>
      </c>
      <c r="K363" s="17">
        <v>60</v>
      </c>
      <c r="L363" s="226">
        <v>200</v>
      </c>
      <c r="M363" s="335">
        <f t="shared" si="275"/>
        <v>-0.33333333333333331</v>
      </c>
      <c r="N363" s="329">
        <f t="shared" si="251"/>
        <v>-100</v>
      </c>
    </row>
    <row r="364" spans="1:14" ht="14.1" customHeight="1">
      <c r="A364" s="157"/>
      <c r="B364" s="33">
        <v>5516</v>
      </c>
      <c r="C364" s="43" t="s">
        <v>375</v>
      </c>
      <c r="D364" s="52"/>
      <c r="E364" s="17">
        <v>0</v>
      </c>
      <c r="F364" s="224">
        <v>400</v>
      </c>
      <c r="G364" s="17"/>
      <c r="H364" s="17">
        <f t="shared" si="283"/>
        <v>400</v>
      </c>
      <c r="I364" s="17"/>
      <c r="J364" s="17">
        <f t="shared" si="284"/>
        <v>400</v>
      </c>
      <c r="K364" s="17">
        <v>392</v>
      </c>
      <c r="L364" s="226">
        <v>600</v>
      </c>
      <c r="M364" s="335">
        <f t="shared" si="275"/>
        <v>0.5</v>
      </c>
      <c r="N364" s="329">
        <f t="shared" si="251"/>
        <v>200</v>
      </c>
    </row>
    <row r="365" spans="1:14" ht="14.1" customHeight="1">
      <c r="A365" s="157"/>
      <c r="B365" s="33">
        <v>5540</v>
      </c>
      <c r="C365" s="34" t="s">
        <v>348</v>
      </c>
      <c r="D365" s="52"/>
      <c r="E365" s="17">
        <v>2969</v>
      </c>
      <c r="F365" s="224">
        <v>0</v>
      </c>
      <c r="G365" s="17"/>
      <c r="H365" s="17">
        <f t="shared" si="283"/>
        <v>0</v>
      </c>
      <c r="I365" s="17"/>
      <c r="J365" s="17">
        <f t="shared" si="284"/>
        <v>0</v>
      </c>
      <c r="K365" s="17"/>
      <c r="L365" s="226"/>
      <c r="M365" s="335" t="e">
        <f t="shared" si="275"/>
        <v>#DIV/0!</v>
      </c>
      <c r="N365" s="329">
        <f t="shared" si="251"/>
        <v>0</v>
      </c>
    </row>
    <row r="366" spans="1:14" ht="14.1" customHeight="1">
      <c r="A366" s="45" t="s">
        <v>376</v>
      </c>
      <c r="B366" s="46"/>
      <c r="C366" s="47" t="s">
        <v>377</v>
      </c>
      <c r="D366" s="53">
        <v>63150</v>
      </c>
      <c r="E366" s="50">
        <v>38948</v>
      </c>
      <c r="F366" s="50">
        <f t="shared" ref="F366" si="285">+F367+F368</f>
        <v>61903</v>
      </c>
      <c r="G366" s="50">
        <f t="shared" ref="G366:I366" si="286">+G367+G368</f>
        <v>0</v>
      </c>
      <c r="H366" s="50">
        <f t="shared" ref="H366:J366" si="287">+H367+H368</f>
        <v>61903</v>
      </c>
      <c r="I366" s="50">
        <f t="shared" si="286"/>
        <v>-2900</v>
      </c>
      <c r="J366" s="50">
        <f t="shared" si="287"/>
        <v>59003</v>
      </c>
      <c r="K366" s="50">
        <f t="shared" ref="K366:L366" si="288">+K367+K368</f>
        <v>41428</v>
      </c>
      <c r="L366" s="50">
        <f t="shared" si="288"/>
        <v>53000</v>
      </c>
      <c r="M366" s="335">
        <f t="shared" si="275"/>
        <v>-0.1017405894615528</v>
      </c>
      <c r="N366" s="329">
        <f t="shared" si="251"/>
        <v>-6003</v>
      </c>
    </row>
    <row r="367" spans="1:14" ht="14.1" customHeight="1">
      <c r="A367" s="32"/>
      <c r="B367" s="38" t="s">
        <v>210</v>
      </c>
      <c r="C367" s="39" t="s">
        <v>272</v>
      </c>
      <c r="D367" s="52">
        <v>14950</v>
      </c>
      <c r="E367" s="143">
        <v>15913</v>
      </c>
      <c r="F367" s="197">
        <f>12283+4500</f>
        <v>16783</v>
      </c>
      <c r="G367" s="197"/>
      <c r="H367" s="143">
        <f t="shared" ref="H367" si="289">+G367+F367</f>
        <v>16783</v>
      </c>
      <c r="I367" s="197">
        <v>-2900</v>
      </c>
      <c r="J367" s="143">
        <f t="shared" ref="J367" si="290">+I367+H367</f>
        <v>13883</v>
      </c>
      <c r="K367" s="143">
        <v>12473</v>
      </c>
      <c r="L367" s="314">
        <f>15900+5000</f>
        <v>20900</v>
      </c>
      <c r="M367" s="335">
        <f t="shared" si="275"/>
        <v>0.50543830584167682</v>
      </c>
      <c r="N367" s="329">
        <f t="shared" si="251"/>
        <v>7017</v>
      </c>
    </row>
    <row r="368" spans="1:14" ht="14.1" customHeight="1">
      <c r="A368" s="32"/>
      <c r="B368" s="38" t="s">
        <v>212</v>
      </c>
      <c r="C368" s="39" t="s">
        <v>213</v>
      </c>
      <c r="D368" s="52">
        <v>48200</v>
      </c>
      <c r="E368" s="137">
        <v>23035</v>
      </c>
      <c r="F368" s="137">
        <f t="shared" ref="F368" si="291">SUM(F369:F377)</f>
        <v>45120</v>
      </c>
      <c r="G368" s="137">
        <f t="shared" ref="G368:I368" si="292">SUM(G369:G377)</f>
        <v>0</v>
      </c>
      <c r="H368" s="137">
        <f t="shared" ref="H368:K368" si="293">SUM(H369:H377)</f>
        <v>45120</v>
      </c>
      <c r="I368" s="137">
        <f t="shared" si="292"/>
        <v>0</v>
      </c>
      <c r="J368" s="137">
        <f t="shared" si="293"/>
        <v>45120</v>
      </c>
      <c r="K368" s="137">
        <f t="shared" si="293"/>
        <v>28955</v>
      </c>
      <c r="L368" s="137">
        <f>SUM(L369:L377)</f>
        <v>32100</v>
      </c>
      <c r="M368" s="335">
        <f t="shared" si="275"/>
        <v>-0.28856382978723405</v>
      </c>
      <c r="N368" s="329">
        <f t="shared" si="251"/>
        <v>-13020</v>
      </c>
    </row>
    <row r="369" spans="1:14" ht="12.6">
      <c r="A369" s="32"/>
      <c r="B369" s="33">
        <v>5500</v>
      </c>
      <c r="C369" s="34" t="s">
        <v>327</v>
      </c>
      <c r="D369" s="52">
        <v>600</v>
      </c>
      <c r="E369" s="17">
        <v>84</v>
      </c>
      <c r="F369" s="226">
        <v>120</v>
      </c>
      <c r="G369" s="17"/>
      <c r="H369" s="17">
        <f>+G369+F369</f>
        <v>120</v>
      </c>
      <c r="I369" s="17"/>
      <c r="J369" s="17">
        <f>+I369+H369</f>
        <v>120</v>
      </c>
      <c r="K369" s="17">
        <v>76</v>
      </c>
      <c r="L369" s="226">
        <v>100</v>
      </c>
      <c r="M369" s="335">
        <f t="shared" si="275"/>
        <v>-0.16666666666666666</v>
      </c>
      <c r="N369" s="329">
        <f t="shared" si="251"/>
        <v>-20</v>
      </c>
    </row>
    <row r="370" spans="1:14" ht="12.6">
      <c r="A370" s="32"/>
      <c r="B370" s="33">
        <v>5502</v>
      </c>
      <c r="C370" s="34" t="s">
        <v>228</v>
      </c>
      <c r="D370" s="52"/>
      <c r="E370" s="17">
        <v>0</v>
      </c>
      <c r="F370" s="226">
        <v>0</v>
      </c>
      <c r="G370" s="17"/>
      <c r="H370" s="17">
        <f t="shared" ref="H370:H377" si="294">+G370+F370</f>
        <v>0</v>
      </c>
      <c r="I370" s="17"/>
      <c r="J370" s="17">
        <f t="shared" ref="J370:J377" si="295">+I370+H370</f>
        <v>0</v>
      </c>
      <c r="K370" s="17"/>
      <c r="L370" s="226"/>
      <c r="M370" s="335" t="e">
        <f t="shared" si="275"/>
        <v>#DIV/0!</v>
      </c>
      <c r="N370" s="329">
        <f t="shared" si="251"/>
        <v>0</v>
      </c>
    </row>
    <row r="371" spans="1:14" ht="12.6">
      <c r="A371" s="32"/>
      <c r="B371" s="33">
        <v>5511</v>
      </c>
      <c r="C371" s="34" t="s">
        <v>219</v>
      </c>
      <c r="D371" s="52">
        <v>5000</v>
      </c>
      <c r="E371" s="17">
        <v>6</v>
      </c>
      <c r="F371" s="226">
        <v>0</v>
      </c>
      <c r="G371" s="17"/>
      <c r="H371" s="17">
        <f t="shared" si="294"/>
        <v>0</v>
      </c>
      <c r="I371" s="17"/>
      <c r="J371" s="17">
        <f t="shared" si="295"/>
        <v>0</v>
      </c>
      <c r="K371" s="17">
        <v>46</v>
      </c>
      <c r="L371" s="226"/>
      <c r="M371" s="335" t="e">
        <f t="shared" si="275"/>
        <v>#DIV/0!</v>
      </c>
      <c r="N371" s="329">
        <f t="shared" si="251"/>
        <v>0</v>
      </c>
    </row>
    <row r="372" spans="1:14" ht="12.6">
      <c r="A372" s="32"/>
      <c r="B372" s="33">
        <v>5512</v>
      </c>
      <c r="C372" s="34" t="s">
        <v>344</v>
      </c>
      <c r="D372" s="52">
        <v>38500</v>
      </c>
      <c r="E372" s="17">
        <v>22900</v>
      </c>
      <c r="F372" s="226">
        <v>40000</v>
      </c>
      <c r="G372" s="17"/>
      <c r="H372" s="17">
        <f t="shared" si="294"/>
        <v>40000</v>
      </c>
      <c r="I372" s="17"/>
      <c r="J372" s="17">
        <f t="shared" si="295"/>
        <v>40000</v>
      </c>
      <c r="K372" s="17">
        <v>23547</v>
      </c>
      <c r="L372" s="226">
        <v>31100</v>
      </c>
      <c r="M372" s="335">
        <f t="shared" si="275"/>
        <v>-0.2225</v>
      </c>
      <c r="N372" s="329">
        <f t="shared" si="251"/>
        <v>-8900</v>
      </c>
    </row>
    <row r="373" spans="1:14" ht="12.6">
      <c r="A373" s="32"/>
      <c r="B373" s="33">
        <v>5513</v>
      </c>
      <c r="C373" s="34" t="s">
        <v>254</v>
      </c>
      <c r="D373" s="52">
        <v>0</v>
      </c>
      <c r="E373" s="17">
        <v>0</v>
      </c>
      <c r="F373" s="226">
        <v>0</v>
      </c>
      <c r="G373" s="17"/>
      <c r="H373" s="17">
        <f t="shared" si="294"/>
        <v>0</v>
      </c>
      <c r="I373" s="17"/>
      <c r="J373" s="17">
        <f t="shared" si="295"/>
        <v>0</v>
      </c>
      <c r="K373" s="17"/>
      <c r="L373" s="226"/>
      <c r="M373" s="335" t="e">
        <f t="shared" si="275"/>
        <v>#DIV/0!</v>
      </c>
      <c r="N373" s="329">
        <f t="shared" si="251"/>
        <v>0</v>
      </c>
    </row>
    <row r="374" spans="1:14" ht="12.6">
      <c r="A374" s="32"/>
      <c r="B374" s="33">
        <v>5514</v>
      </c>
      <c r="C374" s="34" t="s">
        <v>221</v>
      </c>
      <c r="D374" s="52">
        <v>0</v>
      </c>
      <c r="E374" s="17">
        <v>0</v>
      </c>
      <c r="F374" s="226">
        <v>0</v>
      </c>
      <c r="G374" s="17"/>
      <c r="H374" s="17">
        <f t="shared" si="294"/>
        <v>0</v>
      </c>
      <c r="I374" s="17"/>
      <c r="J374" s="17">
        <f t="shared" si="295"/>
        <v>0</v>
      </c>
      <c r="K374" s="17"/>
      <c r="L374" s="226"/>
      <c r="M374" s="335" t="e">
        <f t="shared" si="275"/>
        <v>#DIV/0!</v>
      </c>
      <c r="N374" s="329">
        <f t="shared" si="251"/>
        <v>0</v>
      </c>
    </row>
    <row r="375" spans="1:14" ht="12.6">
      <c r="A375" s="32"/>
      <c r="B375" s="33">
        <v>5515</v>
      </c>
      <c r="C375" s="34" t="s">
        <v>257</v>
      </c>
      <c r="D375" s="52">
        <v>1000</v>
      </c>
      <c r="E375" s="17">
        <v>45</v>
      </c>
      <c r="F375" s="226">
        <v>5000</v>
      </c>
      <c r="G375" s="17"/>
      <c r="H375" s="17">
        <f t="shared" si="294"/>
        <v>5000</v>
      </c>
      <c r="I375" s="17"/>
      <c r="J375" s="17">
        <f t="shared" si="295"/>
        <v>5000</v>
      </c>
      <c r="K375" s="17">
        <v>5286</v>
      </c>
      <c r="L375" s="226">
        <v>900</v>
      </c>
      <c r="M375" s="335">
        <f t="shared" si="275"/>
        <v>-0.82</v>
      </c>
      <c r="N375" s="329">
        <f t="shared" si="251"/>
        <v>-4100</v>
      </c>
    </row>
    <row r="376" spans="1:14" ht="12.6">
      <c r="A376" s="32"/>
      <c r="B376" s="33">
        <v>5532</v>
      </c>
      <c r="C376" s="34" t="s">
        <v>378</v>
      </c>
      <c r="D376" s="52">
        <v>2500</v>
      </c>
      <c r="E376" s="17">
        <v>0</v>
      </c>
      <c r="F376" s="226">
        <v>0</v>
      </c>
      <c r="G376" s="17"/>
      <c r="H376" s="17">
        <f t="shared" si="294"/>
        <v>0</v>
      </c>
      <c r="I376" s="17"/>
      <c r="J376" s="17">
        <f t="shared" si="295"/>
        <v>0</v>
      </c>
      <c r="K376" s="17"/>
      <c r="L376" s="226"/>
      <c r="M376" s="335" t="e">
        <f t="shared" si="275"/>
        <v>#DIV/0!</v>
      </c>
      <c r="N376" s="329">
        <f t="shared" si="251"/>
        <v>0</v>
      </c>
    </row>
    <row r="377" spans="1:14" ht="12.6">
      <c r="A377" s="32"/>
      <c r="B377" s="33">
        <v>5540</v>
      </c>
      <c r="C377" s="34" t="s">
        <v>348</v>
      </c>
      <c r="D377" s="52">
        <v>600</v>
      </c>
      <c r="E377" s="17">
        <v>0</v>
      </c>
      <c r="F377" s="226">
        <v>0</v>
      </c>
      <c r="G377" s="17"/>
      <c r="H377" s="17">
        <f t="shared" si="294"/>
        <v>0</v>
      </c>
      <c r="I377" s="17"/>
      <c r="J377" s="17">
        <f t="shared" si="295"/>
        <v>0</v>
      </c>
      <c r="K377" s="17"/>
      <c r="L377" s="226"/>
      <c r="M377" s="335" t="e">
        <f t="shared" si="275"/>
        <v>#DIV/0!</v>
      </c>
      <c r="N377" s="329">
        <f t="shared" si="251"/>
        <v>0</v>
      </c>
    </row>
    <row r="378" spans="1:14" ht="14.1" customHeight="1">
      <c r="A378" s="96" t="s">
        <v>379</v>
      </c>
      <c r="B378" s="46"/>
      <c r="C378" s="97" t="s">
        <v>380</v>
      </c>
      <c r="D378" s="53">
        <v>12977</v>
      </c>
      <c r="E378" s="54">
        <v>9000</v>
      </c>
      <c r="F378" s="54">
        <f t="shared" ref="F378:L378" si="296">+F379</f>
        <v>8000</v>
      </c>
      <c r="G378" s="54">
        <f t="shared" si="296"/>
        <v>3000</v>
      </c>
      <c r="H378" s="54">
        <f t="shared" si="296"/>
        <v>11000</v>
      </c>
      <c r="I378" s="54">
        <f t="shared" si="296"/>
        <v>0</v>
      </c>
      <c r="J378" s="54">
        <f>+J379</f>
        <v>11000</v>
      </c>
      <c r="K378" s="54">
        <f t="shared" si="296"/>
        <v>8625</v>
      </c>
      <c r="L378" s="54">
        <f t="shared" si="296"/>
        <v>31400</v>
      </c>
      <c r="M378" s="335">
        <f t="shared" si="275"/>
        <v>1.8545454545454545</v>
      </c>
      <c r="N378" s="329">
        <f t="shared" si="251"/>
        <v>20400</v>
      </c>
    </row>
    <row r="379" spans="1:14" ht="14.1" customHeight="1">
      <c r="A379" s="98"/>
      <c r="B379" s="38" t="s">
        <v>212</v>
      </c>
      <c r="C379" s="39" t="s">
        <v>213</v>
      </c>
      <c r="D379" s="52">
        <v>12977</v>
      </c>
      <c r="E379" s="137">
        <v>9000</v>
      </c>
      <c r="F379" s="137">
        <v>8000</v>
      </c>
      <c r="G379" s="194">
        <v>3000</v>
      </c>
      <c r="H379" s="137">
        <f>H380+H381+H382</f>
        <v>11000</v>
      </c>
      <c r="I379" s="137">
        <f>I380+I381+I382</f>
        <v>0</v>
      </c>
      <c r="J379" s="137">
        <f>J380+J381+J382</f>
        <v>11000</v>
      </c>
      <c r="K379" s="137">
        <f>K380+K381+K382</f>
        <v>8625</v>
      </c>
      <c r="L379" s="137">
        <f t="shared" ref="L379" si="297">L380+L381+L382</f>
        <v>31400</v>
      </c>
      <c r="M379" s="335">
        <f t="shared" si="275"/>
        <v>1.8545454545454545</v>
      </c>
      <c r="N379" s="329">
        <f t="shared" si="251"/>
        <v>20400</v>
      </c>
    </row>
    <row r="380" spans="1:14" ht="14.1" customHeight="1">
      <c r="A380" s="98"/>
      <c r="B380" s="33">
        <v>5512</v>
      </c>
      <c r="C380" s="34" t="s">
        <v>344</v>
      </c>
      <c r="D380" s="52"/>
      <c r="E380" s="137"/>
      <c r="F380" s="137"/>
      <c r="G380" s="194"/>
      <c r="H380" s="17"/>
      <c r="I380" s="17">
        <v>9767</v>
      </c>
      <c r="J380" s="17">
        <f t="shared" ref="J380:J382" si="298">+I380+H380</f>
        <v>9767</v>
      </c>
      <c r="K380" s="17">
        <v>7720</v>
      </c>
      <c r="L380" s="226">
        <v>30000</v>
      </c>
      <c r="M380" s="335">
        <f t="shared" si="275"/>
        <v>2.0715675232927202</v>
      </c>
      <c r="N380" s="329">
        <f t="shared" si="251"/>
        <v>20233</v>
      </c>
    </row>
    <row r="381" spans="1:14" ht="14.1" customHeight="1">
      <c r="A381" s="98"/>
      <c r="B381" s="33">
        <v>5514</v>
      </c>
      <c r="C381" s="34" t="s">
        <v>221</v>
      </c>
      <c r="D381" s="52"/>
      <c r="E381" s="137"/>
      <c r="F381" s="137"/>
      <c r="G381" s="194"/>
      <c r="H381" s="17"/>
      <c r="I381" s="17">
        <v>993</v>
      </c>
      <c r="J381" s="17">
        <f t="shared" si="298"/>
        <v>993</v>
      </c>
      <c r="K381" s="17">
        <v>765</v>
      </c>
      <c r="L381" s="226">
        <v>1100</v>
      </c>
      <c r="M381" s="335">
        <f t="shared" si="275"/>
        <v>0.10775427995971802</v>
      </c>
      <c r="N381" s="329">
        <f t="shared" si="251"/>
        <v>107</v>
      </c>
    </row>
    <row r="382" spans="1:14" ht="14.1" customHeight="1">
      <c r="A382" s="98"/>
      <c r="B382" s="33">
        <v>5540</v>
      </c>
      <c r="C382" s="34" t="s">
        <v>348</v>
      </c>
      <c r="D382" s="52"/>
      <c r="E382" s="137"/>
      <c r="F382" s="137"/>
      <c r="G382" s="194"/>
      <c r="H382" s="17">
        <v>11000</v>
      </c>
      <c r="I382" s="17">
        <v>-10760</v>
      </c>
      <c r="J382" s="17">
        <f t="shared" si="298"/>
        <v>240</v>
      </c>
      <c r="K382" s="17">
        <v>140</v>
      </c>
      <c r="L382" s="226">
        <v>300</v>
      </c>
      <c r="M382" s="335">
        <f t="shared" si="275"/>
        <v>0.25</v>
      </c>
      <c r="N382" s="329">
        <f t="shared" si="251"/>
        <v>60</v>
      </c>
    </row>
    <row r="383" spans="1:14" ht="12.95" thickBot="1">
      <c r="A383" s="175" t="s">
        <v>381</v>
      </c>
      <c r="B383" s="68">
        <v>7</v>
      </c>
      <c r="C383" s="30" t="s">
        <v>382</v>
      </c>
      <c r="D383" s="44">
        <v>4400</v>
      </c>
      <c r="E383" s="36">
        <v>8800</v>
      </c>
      <c r="F383" s="36">
        <f t="shared" ref="F383" si="299">+F389</f>
        <v>11459</v>
      </c>
      <c r="G383" s="36">
        <f t="shared" ref="G383:I383" si="300">+G389</f>
        <v>0</v>
      </c>
      <c r="H383" s="36">
        <f t="shared" ref="H383:J383" si="301">+H389</f>
        <v>11459</v>
      </c>
      <c r="I383" s="36">
        <f t="shared" si="300"/>
        <v>4200</v>
      </c>
      <c r="J383" s="36">
        <f t="shared" si="301"/>
        <v>15659</v>
      </c>
      <c r="K383" s="36">
        <f t="shared" ref="K383:L383" si="302">+K389</f>
        <v>12151</v>
      </c>
      <c r="L383" s="36">
        <f t="shared" si="302"/>
        <v>17000</v>
      </c>
      <c r="M383" s="335">
        <f t="shared" si="275"/>
        <v>8.5637652468229131E-2</v>
      </c>
      <c r="N383" s="330">
        <f t="shared" si="251"/>
        <v>1341</v>
      </c>
    </row>
    <row r="384" spans="1:14" ht="12.95" thickTop="1">
      <c r="A384" s="54"/>
      <c r="B384" s="54"/>
      <c r="C384" s="54" t="s">
        <v>383</v>
      </c>
      <c r="D384" s="54"/>
      <c r="E384" s="54">
        <v>8800</v>
      </c>
      <c r="F384" s="54">
        <f t="shared" ref="F384:H384" si="303">F386+F387+F385+F388</f>
        <v>11459</v>
      </c>
      <c r="G384" s="54">
        <f t="shared" si="303"/>
        <v>0</v>
      </c>
      <c r="H384" s="54">
        <f t="shared" si="303"/>
        <v>11459</v>
      </c>
      <c r="I384" s="54">
        <f t="shared" ref="I384:J384" si="304">I386+I387+I385+I388</f>
        <v>4200</v>
      </c>
      <c r="J384" s="54">
        <f t="shared" si="304"/>
        <v>15659</v>
      </c>
      <c r="K384" s="54">
        <f t="shared" ref="K384:L384" si="305">K386+K387+K385+K388</f>
        <v>12151</v>
      </c>
      <c r="L384" s="54">
        <f t="shared" si="305"/>
        <v>17000</v>
      </c>
      <c r="M384" s="335">
        <f t="shared" si="275"/>
        <v>8.5637652468229131E-2</v>
      </c>
      <c r="N384" s="330">
        <f t="shared" si="251"/>
        <v>1341</v>
      </c>
    </row>
    <row r="385" spans="1:14" ht="12.6">
      <c r="A385" s="141"/>
      <c r="B385" s="141">
        <v>45</v>
      </c>
      <c r="C385" s="141" t="s">
        <v>384</v>
      </c>
      <c r="D385" s="141"/>
      <c r="E385" s="141">
        <v>0</v>
      </c>
      <c r="F385" s="141">
        <v>0</v>
      </c>
      <c r="G385" s="141">
        <v>0</v>
      </c>
      <c r="H385" s="141">
        <v>0</v>
      </c>
      <c r="I385" s="141">
        <v>0</v>
      </c>
      <c r="J385" s="141">
        <v>0</v>
      </c>
      <c r="K385" s="141">
        <v>0</v>
      </c>
      <c r="L385" s="141">
        <v>0</v>
      </c>
      <c r="M385" s="335" t="e">
        <f t="shared" si="275"/>
        <v>#DIV/0!</v>
      </c>
      <c r="N385" s="330">
        <f t="shared" si="251"/>
        <v>0</v>
      </c>
    </row>
    <row r="386" spans="1:14" ht="14.1" customHeight="1">
      <c r="A386" s="143"/>
      <c r="B386" s="143">
        <v>50</v>
      </c>
      <c r="C386" s="143" t="s">
        <v>385</v>
      </c>
      <c r="D386" s="143"/>
      <c r="E386" s="143">
        <v>0</v>
      </c>
      <c r="F386" s="143">
        <v>0</v>
      </c>
      <c r="G386" s="143">
        <v>0</v>
      </c>
      <c r="H386" s="143">
        <v>0</v>
      </c>
      <c r="I386" s="143">
        <v>0</v>
      </c>
      <c r="J386" s="143">
        <v>0</v>
      </c>
      <c r="K386" s="143">
        <v>0</v>
      </c>
      <c r="L386" s="143">
        <v>0</v>
      </c>
      <c r="M386" s="335" t="e">
        <f t="shared" si="275"/>
        <v>#DIV/0!</v>
      </c>
      <c r="N386" s="330">
        <f t="shared" si="251"/>
        <v>0</v>
      </c>
    </row>
    <row r="387" spans="1:14" ht="14.1" customHeight="1">
      <c r="A387" s="137"/>
      <c r="B387" s="137">
        <v>55</v>
      </c>
      <c r="C387" s="137" t="s">
        <v>386</v>
      </c>
      <c r="D387" s="137"/>
      <c r="E387" s="137">
        <v>8800</v>
      </c>
      <c r="F387" s="226">
        <f t="shared" ref="F387:H387" si="306">+F389</f>
        <v>11459</v>
      </c>
      <c r="G387" s="226">
        <f t="shared" si="306"/>
        <v>0</v>
      </c>
      <c r="H387" s="137">
        <f t="shared" si="306"/>
        <v>11459</v>
      </c>
      <c r="I387" s="226">
        <f t="shared" ref="I387:J387" si="307">+I389</f>
        <v>4200</v>
      </c>
      <c r="J387" s="137">
        <f t="shared" si="307"/>
        <v>15659</v>
      </c>
      <c r="K387" s="137">
        <f t="shared" ref="K387:L387" si="308">+K389</f>
        <v>12151</v>
      </c>
      <c r="L387" s="226">
        <f t="shared" si="308"/>
        <v>17000</v>
      </c>
      <c r="M387" s="335">
        <f t="shared" si="275"/>
        <v>8.5637652468229131E-2</v>
      </c>
      <c r="N387" s="330">
        <f t="shared" si="251"/>
        <v>1341</v>
      </c>
    </row>
    <row r="388" spans="1:14" ht="12.6">
      <c r="A388" s="140"/>
      <c r="B388" s="140">
        <v>60</v>
      </c>
      <c r="C388" s="140" t="s">
        <v>387</v>
      </c>
      <c r="D388" s="140"/>
      <c r="E388" s="140">
        <v>0</v>
      </c>
      <c r="F388" s="140">
        <v>0</v>
      </c>
      <c r="G388" s="140">
        <v>0</v>
      </c>
      <c r="H388" s="140">
        <v>0</v>
      </c>
      <c r="I388" s="140">
        <v>0</v>
      </c>
      <c r="J388" s="140">
        <v>0</v>
      </c>
      <c r="K388" s="140">
        <v>0</v>
      </c>
      <c r="L388" s="140">
        <v>0</v>
      </c>
      <c r="M388" s="335" t="e">
        <f t="shared" si="275"/>
        <v>#DIV/0!</v>
      </c>
      <c r="N388" s="330">
        <f t="shared" si="251"/>
        <v>0</v>
      </c>
    </row>
    <row r="389" spans="1:14" ht="14.1" customHeight="1">
      <c r="A389" s="66"/>
      <c r="B389" s="60">
        <v>55</v>
      </c>
      <c r="C389" s="61" t="s">
        <v>388</v>
      </c>
      <c r="D389" s="52">
        <v>4400</v>
      </c>
      <c r="E389" s="137">
        <v>8800</v>
      </c>
      <c r="F389" s="137">
        <f>F390+F399</f>
        <v>11459</v>
      </c>
      <c r="G389" s="137">
        <f>G390+G399</f>
        <v>0</v>
      </c>
      <c r="H389" s="137">
        <f>H390+H399</f>
        <v>11459</v>
      </c>
      <c r="I389" s="137">
        <f t="shared" ref="I389:K389" si="309">I390+I399</f>
        <v>4200</v>
      </c>
      <c r="J389" s="137">
        <f t="shared" si="309"/>
        <v>15659</v>
      </c>
      <c r="K389" s="137">
        <f t="shared" si="309"/>
        <v>12151</v>
      </c>
      <c r="L389" s="137">
        <f>L390+L399</f>
        <v>17000</v>
      </c>
      <c r="M389" s="335">
        <f t="shared" si="275"/>
        <v>8.5637652468229131E-2</v>
      </c>
      <c r="N389" s="329">
        <f t="shared" si="251"/>
        <v>1341</v>
      </c>
    </row>
    <row r="390" spans="1:14" ht="14.1" customHeight="1">
      <c r="A390" s="66"/>
      <c r="B390" s="33">
        <v>5511</v>
      </c>
      <c r="C390" s="34" t="s">
        <v>219</v>
      </c>
      <c r="D390" s="52"/>
      <c r="E390" s="17">
        <v>0</v>
      </c>
      <c r="F390" s="17">
        <f>F391+F392+F393+F394+F395+F396</f>
        <v>10959</v>
      </c>
      <c r="G390" s="17">
        <f t="shared" ref="G390" si="310">G391+G392+G393+G394+G395+G396</f>
        <v>0</v>
      </c>
      <c r="H390" s="17">
        <f>H391+H392+H393+H394+H395+H396</f>
        <v>10959</v>
      </c>
      <c r="I390" s="17">
        <f>SUM(I391:I397)</f>
        <v>4200</v>
      </c>
      <c r="J390" s="17">
        <f>SUM(J391:J398)</f>
        <v>15159</v>
      </c>
      <c r="K390" s="17">
        <f t="shared" ref="K390:L390" si="311">SUM(K391:K398)</f>
        <v>12151</v>
      </c>
      <c r="L390" s="17">
        <f t="shared" si="311"/>
        <v>16500</v>
      </c>
      <c r="M390" s="335">
        <f t="shared" si="275"/>
        <v>8.8462299623985746E-2</v>
      </c>
      <c r="N390" s="329">
        <f t="shared" ref="N390:N453" si="312">L390-J390</f>
        <v>1341</v>
      </c>
    </row>
    <row r="391" spans="1:14" s="150" customFormat="1" ht="14.1" customHeight="1">
      <c r="A391" s="161"/>
      <c r="B391" s="162"/>
      <c r="C391" s="163" t="s">
        <v>389</v>
      </c>
      <c r="D391" s="151"/>
      <c r="E391" s="147">
        <v>0</v>
      </c>
      <c r="F391" s="229">
        <v>0</v>
      </c>
      <c r="G391" s="147"/>
      <c r="H391" s="147">
        <f>+F391+G391</f>
        <v>0</v>
      </c>
      <c r="I391" s="147"/>
      <c r="J391" s="147">
        <f>+H391+I391</f>
        <v>0</v>
      </c>
      <c r="K391" s="147"/>
      <c r="L391" s="229"/>
      <c r="M391" s="335" t="e">
        <f t="shared" si="275"/>
        <v>#DIV/0!</v>
      </c>
      <c r="N391" s="329">
        <f t="shared" si="312"/>
        <v>0</v>
      </c>
    </row>
    <row r="392" spans="1:14" s="150" customFormat="1" ht="14.1" customHeight="1">
      <c r="A392" s="161"/>
      <c r="B392" s="162"/>
      <c r="C392" s="163" t="s">
        <v>235</v>
      </c>
      <c r="D392" s="151"/>
      <c r="E392" s="147">
        <v>0</v>
      </c>
      <c r="F392" s="229">
        <v>10000</v>
      </c>
      <c r="G392" s="147"/>
      <c r="H392" s="147">
        <f t="shared" ref="H392:H399" si="313">+F392+G392</f>
        <v>10000</v>
      </c>
      <c r="I392" s="147"/>
      <c r="J392" s="147">
        <f t="shared" ref="J392:J399" si="314">+H392+I392</f>
        <v>10000</v>
      </c>
      <c r="K392" s="147">
        <v>7525</v>
      </c>
      <c r="L392" s="229">
        <v>12000</v>
      </c>
      <c r="M392" s="335">
        <f t="shared" si="275"/>
        <v>0.2</v>
      </c>
      <c r="N392" s="329">
        <f t="shared" si="312"/>
        <v>2000</v>
      </c>
    </row>
    <row r="393" spans="1:14" s="150" customFormat="1" ht="14.1" customHeight="1">
      <c r="A393" s="161"/>
      <c r="B393" s="162"/>
      <c r="C393" s="163" t="s">
        <v>237</v>
      </c>
      <c r="D393" s="151"/>
      <c r="E393" s="147">
        <v>0</v>
      </c>
      <c r="F393" s="229">
        <v>50</v>
      </c>
      <c r="G393" s="147"/>
      <c r="H393" s="147">
        <f t="shared" si="313"/>
        <v>50</v>
      </c>
      <c r="I393" s="147">
        <v>-17</v>
      </c>
      <c r="J393" s="147">
        <f t="shared" si="314"/>
        <v>33</v>
      </c>
      <c r="K393" s="147">
        <v>13</v>
      </c>
      <c r="L393" s="229">
        <v>30</v>
      </c>
      <c r="M393" s="335">
        <f t="shared" si="275"/>
        <v>-9.0909090909090912E-2</v>
      </c>
      <c r="N393" s="329">
        <f t="shared" si="312"/>
        <v>-3</v>
      </c>
    </row>
    <row r="394" spans="1:14" s="150" customFormat="1" ht="14.1" customHeight="1">
      <c r="A394" s="161"/>
      <c r="B394" s="162"/>
      <c r="C394" s="156" t="s">
        <v>241</v>
      </c>
      <c r="D394" s="151"/>
      <c r="E394" s="147">
        <v>0</v>
      </c>
      <c r="F394" s="229">
        <v>400</v>
      </c>
      <c r="G394" s="147"/>
      <c r="H394" s="147">
        <f t="shared" si="313"/>
        <v>400</v>
      </c>
      <c r="I394" s="147">
        <v>-300</v>
      </c>
      <c r="J394" s="147">
        <f t="shared" si="314"/>
        <v>100</v>
      </c>
      <c r="K394" s="147">
        <v>33</v>
      </c>
      <c r="L394" s="229">
        <v>200</v>
      </c>
      <c r="M394" s="335">
        <f t="shared" si="275"/>
        <v>1</v>
      </c>
      <c r="N394" s="329">
        <f t="shared" si="312"/>
        <v>100</v>
      </c>
    </row>
    <row r="395" spans="1:14" s="150" customFormat="1" ht="14.1" customHeight="1">
      <c r="A395" s="161"/>
      <c r="B395" s="162"/>
      <c r="C395" s="156" t="s">
        <v>364</v>
      </c>
      <c r="D395" s="151"/>
      <c r="E395" s="147">
        <v>0</v>
      </c>
      <c r="F395" s="229">
        <v>400</v>
      </c>
      <c r="G395" s="147"/>
      <c r="H395" s="147">
        <f t="shared" si="313"/>
        <v>400</v>
      </c>
      <c r="I395" s="147">
        <v>1000</v>
      </c>
      <c r="J395" s="147">
        <f t="shared" si="314"/>
        <v>1400</v>
      </c>
      <c r="K395" s="147">
        <v>1594</v>
      </c>
      <c r="L395" s="229">
        <v>3000</v>
      </c>
      <c r="M395" s="335">
        <f t="shared" si="275"/>
        <v>1.1428571428571428</v>
      </c>
      <c r="N395" s="329">
        <f t="shared" si="312"/>
        <v>1600</v>
      </c>
    </row>
    <row r="396" spans="1:14" s="150" customFormat="1" ht="14.1" customHeight="1">
      <c r="A396" s="161"/>
      <c r="B396" s="162"/>
      <c r="C396" s="156" t="s">
        <v>247</v>
      </c>
      <c r="D396" s="151"/>
      <c r="E396" s="147">
        <v>0</v>
      </c>
      <c r="F396" s="229">
        <v>109</v>
      </c>
      <c r="G396" s="147"/>
      <c r="H396" s="147">
        <f t="shared" si="313"/>
        <v>109</v>
      </c>
      <c r="I396" s="147">
        <v>17</v>
      </c>
      <c r="J396" s="147">
        <f t="shared" si="314"/>
        <v>126</v>
      </c>
      <c r="K396" s="147">
        <v>126</v>
      </c>
      <c r="L396" s="229">
        <v>130</v>
      </c>
      <c r="M396" s="335">
        <f t="shared" si="275"/>
        <v>3.1746031746031744E-2</v>
      </c>
      <c r="N396" s="329">
        <f t="shared" si="312"/>
        <v>4</v>
      </c>
    </row>
    <row r="397" spans="1:14" s="150" customFormat="1" ht="14.1" customHeight="1">
      <c r="A397" s="161"/>
      <c r="B397" s="162"/>
      <c r="C397" s="156" t="s">
        <v>372</v>
      </c>
      <c r="D397" s="151"/>
      <c r="E397" s="147"/>
      <c r="F397" s="229"/>
      <c r="G397" s="147"/>
      <c r="H397" s="147"/>
      <c r="I397" s="147">
        <v>3500</v>
      </c>
      <c r="J397" s="147">
        <f t="shared" si="314"/>
        <v>3500</v>
      </c>
      <c r="K397" s="147">
        <v>2860</v>
      </c>
      <c r="L397" s="229"/>
      <c r="M397" s="335">
        <f t="shared" si="275"/>
        <v>-1</v>
      </c>
      <c r="N397" s="329">
        <f t="shared" si="312"/>
        <v>-3500</v>
      </c>
    </row>
    <row r="398" spans="1:14" s="150" customFormat="1" ht="14.1" customHeight="1">
      <c r="A398" s="161"/>
      <c r="B398" s="162"/>
      <c r="C398" s="178" t="s">
        <v>374</v>
      </c>
      <c r="D398" s="151"/>
      <c r="E398" s="147"/>
      <c r="F398" s="229"/>
      <c r="G398" s="147"/>
      <c r="H398" s="147"/>
      <c r="I398" s="147"/>
      <c r="J398" s="147"/>
      <c r="K398" s="293"/>
      <c r="L398" s="229">
        <v>1140</v>
      </c>
      <c r="M398" s="335"/>
      <c r="N398" s="329">
        <f t="shared" si="312"/>
        <v>1140</v>
      </c>
    </row>
    <row r="399" spans="1:14" s="150" customFormat="1" ht="14.1" customHeight="1">
      <c r="A399" s="161"/>
      <c r="B399" s="33">
        <v>5515</v>
      </c>
      <c r="C399" s="34" t="s">
        <v>257</v>
      </c>
      <c r="D399" s="151"/>
      <c r="E399" s="155">
        <v>0</v>
      </c>
      <c r="F399" s="221">
        <v>500</v>
      </c>
      <c r="G399" s="155"/>
      <c r="H399" s="155">
        <f t="shared" si="313"/>
        <v>500</v>
      </c>
      <c r="I399" s="155"/>
      <c r="J399" s="155">
        <f t="shared" si="314"/>
        <v>500</v>
      </c>
      <c r="K399" s="155"/>
      <c r="L399" s="221">
        <v>500</v>
      </c>
      <c r="M399" s="335">
        <f t="shared" si="275"/>
        <v>0</v>
      </c>
      <c r="N399" s="329">
        <f t="shared" si="312"/>
        <v>0</v>
      </c>
    </row>
    <row r="400" spans="1:14" ht="14.1" customHeight="1">
      <c r="A400" s="28" t="s">
        <v>390</v>
      </c>
      <c r="B400" s="29">
        <v>8</v>
      </c>
      <c r="C400" s="30" t="s">
        <v>391</v>
      </c>
      <c r="D400" s="44">
        <v>2105645</v>
      </c>
      <c r="E400" s="42">
        <v>2193840</v>
      </c>
      <c r="F400" s="42">
        <f t="shared" ref="F400:K400" si="315">+F406+F427+F438+F471+F488+F490+F515+F522+F535+F560+F595+F611+F628+F653+F677+F690+F695+F711+F729+F747+F770+F793+F809+F813+F834+F848+F866+F886+F898+F922+F944+F969+F995+F998+F1007+F1013+F1015+F465</f>
        <v>2647658</v>
      </c>
      <c r="G400" s="42">
        <f t="shared" si="315"/>
        <v>1528.4000000000015</v>
      </c>
      <c r="H400" s="42">
        <f t="shared" si="315"/>
        <v>2649186.4</v>
      </c>
      <c r="I400" s="42">
        <f t="shared" si="315"/>
        <v>-24950</v>
      </c>
      <c r="J400" s="42">
        <f t="shared" si="315"/>
        <v>2624236.4</v>
      </c>
      <c r="K400" s="42">
        <f t="shared" si="315"/>
        <v>1905508.2799999998</v>
      </c>
      <c r="L400" s="42">
        <f>+L406+L427+L438+L471+L488+L490+L515+L522+L535+L560+L595+L611+L628+L653+L677+L690+L695+L711+L729+L747+L770+L793+L809+L813+L834+L848+L866+L886+L898+L922+L944+L969+L995+L998+L1007+L1013+L1015+L465+L585</f>
        <v>2781600</v>
      </c>
      <c r="M400" s="335">
        <f t="shared" si="275"/>
        <v>5.9965481768334626E-2</v>
      </c>
      <c r="N400" s="331">
        <f t="shared" si="312"/>
        <v>157363.60000000009</v>
      </c>
    </row>
    <row r="401" spans="1:14" ht="12.95">
      <c r="A401" s="54"/>
      <c r="B401" s="54"/>
      <c r="C401" s="54" t="s">
        <v>392</v>
      </c>
      <c r="D401" s="54"/>
      <c r="E401" s="54">
        <v>2193840</v>
      </c>
      <c r="F401" s="54">
        <f t="shared" ref="F401:H401" si="316">F403+F404+F402+F405</f>
        <v>2647658</v>
      </c>
      <c r="G401" s="54">
        <f t="shared" si="316"/>
        <v>1528.4000000000015</v>
      </c>
      <c r="H401" s="54">
        <f t="shared" si="316"/>
        <v>2649186.4</v>
      </c>
      <c r="I401" s="54">
        <f t="shared" ref="I401:J401" si="317">I403+I404+I402+I405</f>
        <v>-24950</v>
      </c>
      <c r="J401" s="54">
        <f t="shared" si="317"/>
        <v>2624236.4</v>
      </c>
      <c r="K401" s="54">
        <f t="shared" ref="K401" si="318">K403+K404+K402+K405</f>
        <v>1905508.2799999998</v>
      </c>
      <c r="L401" s="54">
        <f>L403+L404+L402+L405</f>
        <v>2781600</v>
      </c>
      <c r="M401" s="335">
        <f t="shared" si="275"/>
        <v>5.9965481768334626E-2</v>
      </c>
      <c r="N401" s="331">
        <f t="shared" si="312"/>
        <v>157363.60000000009</v>
      </c>
    </row>
    <row r="402" spans="1:14" ht="14.1" customHeight="1">
      <c r="A402" s="141"/>
      <c r="B402" s="141">
        <v>45</v>
      </c>
      <c r="C402" s="141" t="s">
        <v>393</v>
      </c>
      <c r="D402" s="141"/>
      <c r="E402" s="141">
        <v>255029</v>
      </c>
      <c r="F402" s="141">
        <f t="shared" ref="F402:L402" si="319">F428+F489+F516+F696+F712+F996+F999+F1014</f>
        <v>320944</v>
      </c>
      <c r="G402" s="141">
        <f t="shared" si="319"/>
        <v>8300</v>
      </c>
      <c r="H402" s="141">
        <f t="shared" si="319"/>
        <v>329244</v>
      </c>
      <c r="I402" s="141">
        <f t="shared" si="319"/>
        <v>14250</v>
      </c>
      <c r="J402" s="141">
        <f t="shared" si="319"/>
        <v>343494</v>
      </c>
      <c r="K402" s="141">
        <f>K428+K489+K516+K696+K712+K996+K999+K1014</f>
        <v>282752</v>
      </c>
      <c r="L402" s="141">
        <f t="shared" si="319"/>
        <v>375060</v>
      </c>
      <c r="M402" s="335">
        <f t="shared" si="275"/>
        <v>9.1896801690859231E-2</v>
      </c>
      <c r="N402" s="331">
        <f t="shared" si="312"/>
        <v>31566</v>
      </c>
    </row>
    <row r="403" spans="1:14" ht="14.1" customHeight="1">
      <c r="A403" s="143"/>
      <c r="B403" s="143">
        <v>50</v>
      </c>
      <c r="C403" s="143" t="s">
        <v>394</v>
      </c>
      <c r="D403" s="143"/>
      <c r="E403" s="143">
        <v>1001693</v>
      </c>
      <c r="F403" s="143">
        <f t="shared" ref="F403:K403" si="320">F407+F439+F472+F491+F517+F523+F536+F561+F596+F612+F629+F654+F678+F691+F697+F713+F730+F748+F771+F794+F810+F814+F835+F849+F867+F887+F899+F923+F945+F970+F1008+F1016+F466</f>
        <v>1170729</v>
      </c>
      <c r="G403" s="143">
        <f t="shared" si="320"/>
        <v>12548.400000000001</v>
      </c>
      <c r="H403" s="143">
        <f t="shared" si="320"/>
        <v>1183277.3999999999</v>
      </c>
      <c r="I403" s="143">
        <f t="shared" si="320"/>
        <v>-6865</v>
      </c>
      <c r="J403" s="143">
        <f t="shared" si="320"/>
        <v>1176412.3999999999</v>
      </c>
      <c r="K403" s="143">
        <f t="shared" si="320"/>
        <v>883710</v>
      </c>
      <c r="L403" s="143">
        <f>L407+L439+L472+L491+L517+L523+L536+L561+L596+L612+L629+L654+L678+L691+L697+L713+L730+L748+L771+L794+L810+L814+L835+L849+L867+L887+L899+L923+L945+L970+L1008+L1016+L466+L586</f>
        <v>1217050</v>
      </c>
      <c r="M403" s="335">
        <f t="shared" si="275"/>
        <v>3.454366852984557E-2</v>
      </c>
      <c r="N403" s="331">
        <f t="shared" si="312"/>
        <v>40637.600000000093</v>
      </c>
    </row>
    <row r="404" spans="1:14" ht="12.75" customHeight="1">
      <c r="A404" s="137"/>
      <c r="B404" s="137">
        <v>55</v>
      </c>
      <c r="C404" s="137" t="s">
        <v>395</v>
      </c>
      <c r="D404" s="137"/>
      <c r="E404" s="137">
        <v>937118</v>
      </c>
      <c r="F404" s="226">
        <f t="shared" ref="F404:K404" si="321">F408+F429+F440+F473+F492+F518+F524+F537+F562+F597+F613+F630+F655+F679+F692+F698+F714+F731+F749+F772+F795+F811+F815+F836+F850+F868+F888+F900+F924+F946+F971+F997+F1000+F1009+F1017+F467</f>
        <v>1155985</v>
      </c>
      <c r="G404" s="226">
        <f t="shared" si="321"/>
        <v>-19320</v>
      </c>
      <c r="H404" s="137">
        <f t="shared" si="321"/>
        <v>1136665</v>
      </c>
      <c r="I404" s="226">
        <f t="shared" si="321"/>
        <v>-32335</v>
      </c>
      <c r="J404" s="137">
        <f t="shared" si="321"/>
        <v>1104330</v>
      </c>
      <c r="K404" s="137">
        <f t="shared" si="321"/>
        <v>739031.2799999998</v>
      </c>
      <c r="L404" s="226">
        <f>L408+L429+L440+L473+L492+L518+L524+L537+L562+L597+L613+L630+L655+L679+L692+L698+L714+L731+L749+L772+L795+L811+L815+L836+L850+L868+L888+L900+L924+L946+L971+L997+L1000+L1009+L1017+L467+L587</f>
        <v>1189470</v>
      </c>
      <c r="M404" s="335">
        <f t="shared" si="275"/>
        <v>7.7096520061938012E-2</v>
      </c>
      <c r="N404" s="331">
        <f t="shared" si="312"/>
        <v>85140</v>
      </c>
    </row>
    <row r="405" spans="1:14" ht="12.95">
      <c r="A405" s="140"/>
      <c r="B405" s="140">
        <v>60</v>
      </c>
      <c r="C405" s="140" t="s">
        <v>396</v>
      </c>
      <c r="D405" s="140"/>
      <c r="E405" s="140">
        <v>0</v>
      </c>
      <c r="F405" s="140">
        <v>0</v>
      </c>
      <c r="G405" s="140">
        <v>0</v>
      </c>
      <c r="H405" s="140">
        <v>0</v>
      </c>
      <c r="I405" s="140">
        <v>0</v>
      </c>
      <c r="J405" s="140">
        <f>J534</f>
        <v>0</v>
      </c>
      <c r="K405" s="140">
        <f>K534</f>
        <v>15</v>
      </c>
      <c r="L405" s="140">
        <f>L534</f>
        <v>20</v>
      </c>
      <c r="M405" s="335" t="e">
        <f t="shared" si="275"/>
        <v>#DIV/0!</v>
      </c>
      <c r="N405" s="331">
        <f t="shared" si="312"/>
        <v>20</v>
      </c>
    </row>
    <row r="406" spans="1:14" ht="14.1" customHeight="1">
      <c r="A406" s="45" t="s">
        <v>397</v>
      </c>
      <c r="B406" s="46"/>
      <c r="C406" s="47" t="s">
        <v>398</v>
      </c>
      <c r="D406" s="53">
        <v>47305</v>
      </c>
      <c r="E406" s="50">
        <v>48094</v>
      </c>
      <c r="F406" s="50">
        <f>+F407+F408</f>
        <v>69081</v>
      </c>
      <c r="G406" s="50">
        <f>+G407+G408</f>
        <v>-13603</v>
      </c>
      <c r="H406" s="50">
        <f t="shared" ref="H406:J406" si="322">+H407+H408</f>
        <v>55478</v>
      </c>
      <c r="I406" s="50">
        <f>+I407+I408</f>
        <v>-500</v>
      </c>
      <c r="J406" s="50">
        <f t="shared" si="322"/>
        <v>54978</v>
      </c>
      <c r="K406" s="50">
        <f t="shared" ref="K406" si="323">+K407+K408</f>
        <v>39403.119999999995</v>
      </c>
      <c r="L406" s="50">
        <f>+L407+L408</f>
        <v>58200</v>
      </c>
      <c r="M406" s="335">
        <f t="shared" si="275"/>
        <v>5.8605260285932555E-2</v>
      </c>
      <c r="N406" s="329">
        <f t="shared" si="312"/>
        <v>3222</v>
      </c>
    </row>
    <row r="407" spans="1:14" ht="14.1" customHeight="1">
      <c r="A407" s="32"/>
      <c r="B407" s="38" t="s">
        <v>210</v>
      </c>
      <c r="C407" s="39" t="s">
        <v>211</v>
      </c>
      <c r="D407" s="52">
        <v>27615</v>
      </c>
      <c r="E407" s="143">
        <v>29320</v>
      </c>
      <c r="F407" s="226">
        <v>33316</v>
      </c>
      <c r="G407" s="226">
        <v>297</v>
      </c>
      <c r="H407" s="143">
        <f t="shared" ref="H407" si="324">+G407+F407</f>
        <v>33613</v>
      </c>
      <c r="I407" s="226"/>
      <c r="J407" s="143">
        <f t="shared" ref="J407" si="325">+I407+H407</f>
        <v>33613</v>
      </c>
      <c r="K407" s="143">
        <v>25502</v>
      </c>
      <c r="L407" s="225">
        <v>35000</v>
      </c>
      <c r="M407" s="335">
        <f t="shared" si="275"/>
        <v>4.1263796745306877E-2</v>
      </c>
      <c r="N407" s="329">
        <f t="shared" si="312"/>
        <v>1387</v>
      </c>
    </row>
    <row r="408" spans="1:14" ht="14.1" customHeight="1">
      <c r="A408" s="32"/>
      <c r="B408" s="38" t="s">
        <v>212</v>
      </c>
      <c r="C408" s="39" t="s">
        <v>213</v>
      </c>
      <c r="D408" s="52">
        <v>19690</v>
      </c>
      <c r="E408" s="137">
        <v>18774</v>
      </c>
      <c r="F408" s="137">
        <f>+F409+F410+F420+F421+F422+F424+F425+F426+F423+F419</f>
        <v>35765</v>
      </c>
      <c r="G408" s="137">
        <f t="shared" ref="G408:H408" si="326">+G409+G410+G420+G421+G422+G424+G425+G426+G423+G419</f>
        <v>-13900</v>
      </c>
      <c r="H408" s="137">
        <f t="shared" si="326"/>
        <v>21865</v>
      </c>
      <c r="I408" s="137">
        <f>+I409+I410+I420+I421+I422+I424+I425+I426+I423+I419</f>
        <v>-500</v>
      </c>
      <c r="J408" s="137">
        <f t="shared" ref="J408:K408" si="327">+J409+J410+J420+J421+J422+J424+J425+J426+J423+J419</f>
        <v>21365</v>
      </c>
      <c r="K408" s="137">
        <f t="shared" si="327"/>
        <v>13901.119999999999</v>
      </c>
      <c r="L408" s="137">
        <f>+L409+L410+L420+L421+L422+L424+L425+L426+L423+L419</f>
        <v>23200</v>
      </c>
      <c r="M408" s="335">
        <f t="shared" si="275"/>
        <v>8.5888134799906382E-2</v>
      </c>
      <c r="N408" s="329">
        <f t="shared" si="312"/>
        <v>1835</v>
      </c>
    </row>
    <row r="409" spans="1:14" ht="14.1" customHeight="1">
      <c r="A409" s="32"/>
      <c r="B409" s="33" t="s">
        <v>214</v>
      </c>
      <c r="C409" s="34" t="s">
        <v>327</v>
      </c>
      <c r="D409" s="52">
        <v>150</v>
      </c>
      <c r="E409" s="17">
        <v>100</v>
      </c>
      <c r="F409" s="226">
        <v>150</v>
      </c>
      <c r="G409" s="17"/>
      <c r="H409" s="17">
        <f t="shared" ref="H409" si="328">+G409+F409</f>
        <v>150</v>
      </c>
      <c r="I409" s="17"/>
      <c r="J409" s="17">
        <f t="shared" ref="J409" si="329">+I409+H409</f>
        <v>150</v>
      </c>
      <c r="K409" s="20">
        <v>95</v>
      </c>
      <c r="L409" s="226">
        <v>150</v>
      </c>
      <c r="M409" s="335">
        <f t="shared" si="275"/>
        <v>0</v>
      </c>
      <c r="N409" s="329">
        <f t="shared" si="312"/>
        <v>0</v>
      </c>
    </row>
    <row r="410" spans="1:14" ht="14.1" customHeight="1">
      <c r="A410" s="32"/>
      <c r="B410" s="33" t="s">
        <v>231</v>
      </c>
      <c r="C410" s="34" t="s">
        <v>219</v>
      </c>
      <c r="D410" s="52">
        <v>14190</v>
      </c>
      <c r="E410" s="17">
        <v>12990</v>
      </c>
      <c r="F410" s="226">
        <f t="shared" ref="F410:K410" si="330">SUM(F411:F418)</f>
        <v>30515</v>
      </c>
      <c r="G410" s="17">
        <f t="shared" si="330"/>
        <v>-13900</v>
      </c>
      <c r="H410" s="17">
        <f t="shared" si="330"/>
        <v>16615</v>
      </c>
      <c r="I410" s="17">
        <f>SUM(I411:I418)</f>
        <v>-400</v>
      </c>
      <c r="J410" s="17">
        <f t="shared" si="330"/>
        <v>16215</v>
      </c>
      <c r="K410" s="17">
        <f t="shared" si="330"/>
        <v>10471</v>
      </c>
      <c r="L410" s="226">
        <f t="shared" ref="L410" si="331">SUM(L411:L418)</f>
        <v>17670</v>
      </c>
      <c r="M410" s="335">
        <f t="shared" si="275"/>
        <v>8.9731729879740985E-2</v>
      </c>
      <c r="N410" s="329">
        <f t="shared" si="312"/>
        <v>1455</v>
      </c>
    </row>
    <row r="411" spans="1:14" s="150" customFormat="1" ht="14.1" customHeight="1">
      <c r="A411" s="157"/>
      <c r="B411" s="158"/>
      <c r="C411" s="146" t="s">
        <v>233</v>
      </c>
      <c r="D411" s="146">
        <v>6200</v>
      </c>
      <c r="E411" s="147">
        <v>5200</v>
      </c>
      <c r="F411" s="229">
        <v>20000</v>
      </c>
      <c r="G411" s="147">
        <v>-14000</v>
      </c>
      <c r="H411" s="147">
        <f>+F411+G411</f>
        <v>6000</v>
      </c>
      <c r="I411" s="147"/>
      <c r="J411" s="147">
        <f>+H411+I411</f>
        <v>6000</v>
      </c>
      <c r="K411" s="147">
        <v>4183</v>
      </c>
      <c r="L411" s="229">
        <v>8000</v>
      </c>
      <c r="M411" s="335">
        <f t="shared" ref="M411:M476" si="332">(L411-J411)/J411</f>
        <v>0.33333333333333331</v>
      </c>
      <c r="N411" s="329">
        <f t="shared" si="312"/>
        <v>2000</v>
      </c>
    </row>
    <row r="412" spans="1:14" s="150" customFormat="1" ht="14.1" customHeight="1">
      <c r="A412" s="157"/>
      <c r="B412" s="158"/>
      <c r="C412" s="146" t="s">
        <v>235</v>
      </c>
      <c r="D412" s="146">
        <v>2700</v>
      </c>
      <c r="E412" s="147">
        <v>3300</v>
      </c>
      <c r="F412" s="229">
        <v>5000</v>
      </c>
      <c r="G412" s="147"/>
      <c r="H412" s="147">
        <f t="shared" ref="H412:H418" si="333">+F412+G412</f>
        <v>5000</v>
      </c>
      <c r="I412" s="147">
        <v>-413</v>
      </c>
      <c r="J412" s="147">
        <f t="shared" ref="J412:J418" si="334">+H412+I412</f>
        <v>4587</v>
      </c>
      <c r="K412" s="147">
        <v>3406</v>
      </c>
      <c r="L412" s="229">
        <v>5000</v>
      </c>
      <c r="M412" s="335">
        <f t="shared" si="332"/>
        <v>9.0037061260082846E-2</v>
      </c>
      <c r="N412" s="329">
        <f t="shared" si="312"/>
        <v>413</v>
      </c>
    </row>
    <row r="413" spans="1:14" s="150" customFormat="1" ht="14.1" customHeight="1">
      <c r="A413" s="157"/>
      <c r="B413" s="158"/>
      <c r="C413" s="146" t="s">
        <v>237</v>
      </c>
      <c r="D413" s="146">
        <v>500</v>
      </c>
      <c r="E413" s="147">
        <v>500</v>
      </c>
      <c r="F413" s="229">
        <v>600</v>
      </c>
      <c r="G413" s="147"/>
      <c r="H413" s="147">
        <f t="shared" si="333"/>
        <v>600</v>
      </c>
      <c r="I413" s="147"/>
      <c r="J413" s="147">
        <f t="shared" si="334"/>
        <v>600</v>
      </c>
      <c r="K413" s="147">
        <v>465</v>
      </c>
      <c r="L413" s="229">
        <v>520</v>
      </c>
      <c r="M413" s="335">
        <f t="shared" si="332"/>
        <v>-0.13333333333333333</v>
      </c>
      <c r="N413" s="329">
        <f t="shared" si="312"/>
        <v>-80</v>
      </c>
    </row>
    <row r="414" spans="1:14" s="150" customFormat="1" ht="14.1" customHeight="1">
      <c r="A414" s="157"/>
      <c r="B414" s="158"/>
      <c r="C414" s="146" t="s">
        <v>239</v>
      </c>
      <c r="D414" s="146">
        <v>2000</v>
      </c>
      <c r="E414" s="147">
        <v>1200</v>
      </c>
      <c r="F414" s="229">
        <v>1500</v>
      </c>
      <c r="G414" s="147"/>
      <c r="H414" s="147">
        <f t="shared" si="333"/>
        <v>1500</v>
      </c>
      <c r="I414" s="147"/>
      <c r="J414" s="147">
        <f t="shared" si="334"/>
        <v>1500</v>
      </c>
      <c r="K414" s="147">
        <v>659</v>
      </c>
      <c r="L414" s="229">
        <v>1500</v>
      </c>
      <c r="M414" s="335">
        <f t="shared" si="332"/>
        <v>0</v>
      </c>
      <c r="N414" s="329">
        <f t="shared" si="312"/>
        <v>0</v>
      </c>
    </row>
    <row r="415" spans="1:14" s="150" customFormat="1" ht="14.1" customHeight="1">
      <c r="A415" s="157"/>
      <c r="B415" s="158"/>
      <c r="C415" s="146" t="s">
        <v>241</v>
      </c>
      <c r="D415" s="146">
        <v>200</v>
      </c>
      <c r="E415" s="147">
        <v>200</v>
      </c>
      <c r="F415" s="229">
        <v>350</v>
      </c>
      <c r="G415" s="147"/>
      <c r="H415" s="147">
        <f t="shared" si="333"/>
        <v>350</v>
      </c>
      <c r="I415" s="147"/>
      <c r="J415" s="147">
        <f t="shared" si="334"/>
        <v>350</v>
      </c>
      <c r="K415" s="147">
        <v>283</v>
      </c>
      <c r="L415" s="229">
        <v>400</v>
      </c>
      <c r="M415" s="335">
        <f t="shared" si="332"/>
        <v>0.14285714285714285</v>
      </c>
      <c r="N415" s="329">
        <f t="shared" si="312"/>
        <v>50</v>
      </c>
    </row>
    <row r="416" spans="1:14" s="150" customFormat="1" ht="14.1" customHeight="1">
      <c r="A416" s="157"/>
      <c r="B416" s="158"/>
      <c r="C416" s="146" t="s">
        <v>243</v>
      </c>
      <c r="D416" s="146">
        <v>450</v>
      </c>
      <c r="E416" s="147">
        <v>450</v>
      </c>
      <c r="F416" s="229">
        <v>650</v>
      </c>
      <c r="G416" s="147">
        <v>100</v>
      </c>
      <c r="H416" s="147">
        <f t="shared" si="333"/>
        <v>750</v>
      </c>
      <c r="I416" s="147"/>
      <c r="J416" s="147">
        <f t="shared" si="334"/>
        <v>750</v>
      </c>
      <c r="K416" s="147">
        <v>831</v>
      </c>
      <c r="L416" s="229">
        <v>800</v>
      </c>
      <c r="M416" s="335">
        <f t="shared" si="332"/>
        <v>6.6666666666666666E-2</v>
      </c>
      <c r="N416" s="329">
        <f t="shared" si="312"/>
        <v>50</v>
      </c>
    </row>
    <row r="417" spans="1:14" s="150" customFormat="1" ht="14.1" customHeight="1">
      <c r="A417" s="157"/>
      <c r="B417" s="158"/>
      <c r="C417" s="146" t="s">
        <v>364</v>
      </c>
      <c r="D417" s="146">
        <v>2000</v>
      </c>
      <c r="E417" s="147">
        <v>2000</v>
      </c>
      <c r="F417" s="229">
        <v>2000</v>
      </c>
      <c r="G417" s="147"/>
      <c r="H417" s="147">
        <f t="shared" si="333"/>
        <v>2000</v>
      </c>
      <c r="I417" s="147"/>
      <c r="J417" s="147">
        <f t="shared" si="334"/>
        <v>2000</v>
      </c>
      <c r="K417" s="147">
        <v>216</v>
      </c>
      <c r="L417" s="229">
        <v>1000</v>
      </c>
      <c r="M417" s="335">
        <f t="shared" si="332"/>
        <v>-0.5</v>
      </c>
      <c r="N417" s="329">
        <f t="shared" si="312"/>
        <v>-1000</v>
      </c>
    </row>
    <row r="418" spans="1:14" s="150" customFormat="1" ht="14.1" customHeight="1">
      <c r="A418" s="157"/>
      <c r="B418" s="158"/>
      <c r="C418" s="146" t="s">
        <v>247</v>
      </c>
      <c r="D418" s="146">
        <v>140</v>
      </c>
      <c r="E418" s="147">
        <v>140</v>
      </c>
      <c r="F418" s="229">
        <v>415</v>
      </c>
      <c r="G418" s="147"/>
      <c r="H418" s="147">
        <f t="shared" si="333"/>
        <v>415</v>
      </c>
      <c r="I418" s="147">
        <v>13</v>
      </c>
      <c r="J418" s="147">
        <f t="shared" si="334"/>
        <v>428</v>
      </c>
      <c r="K418" s="146">
        <v>428</v>
      </c>
      <c r="L418" s="229">
        <v>450</v>
      </c>
      <c r="M418" s="335">
        <f t="shared" si="332"/>
        <v>5.1401869158878503E-2</v>
      </c>
      <c r="N418" s="329">
        <f t="shared" si="312"/>
        <v>22</v>
      </c>
    </row>
    <row r="419" spans="1:14" s="150" customFormat="1" ht="14.1" customHeight="1">
      <c r="A419" s="157"/>
      <c r="B419" s="33">
        <v>5512</v>
      </c>
      <c r="C419" s="34" t="s">
        <v>344</v>
      </c>
      <c r="D419" s="159"/>
      <c r="E419" s="155">
        <v>200</v>
      </c>
      <c r="F419" s="226">
        <v>200</v>
      </c>
      <c r="G419" s="17"/>
      <c r="H419" s="17">
        <f t="shared" ref="H419:H426" si="335">+G419+F419</f>
        <v>200</v>
      </c>
      <c r="I419" s="17"/>
      <c r="J419" s="17">
        <f t="shared" ref="J419:J426" si="336">+I419+H419</f>
        <v>200</v>
      </c>
      <c r="K419" s="17">
        <v>97</v>
      </c>
      <c r="L419" s="226">
        <v>230</v>
      </c>
      <c r="M419" s="335">
        <f t="shared" si="332"/>
        <v>0.15</v>
      </c>
      <c r="N419" s="329">
        <f t="shared" si="312"/>
        <v>30</v>
      </c>
    </row>
    <row r="420" spans="1:14" ht="14.1" customHeight="1">
      <c r="A420" s="32"/>
      <c r="B420" s="33" t="s">
        <v>253</v>
      </c>
      <c r="C420" s="34" t="s">
        <v>254</v>
      </c>
      <c r="D420" s="52">
        <v>2000</v>
      </c>
      <c r="E420" s="17">
        <v>0</v>
      </c>
      <c r="F420" s="226">
        <v>0</v>
      </c>
      <c r="G420" s="17"/>
      <c r="H420" s="17">
        <f t="shared" si="335"/>
        <v>0</v>
      </c>
      <c r="I420" s="17">
        <v>10</v>
      </c>
      <c r="J420" s="17">
        <f t="shared" si="336"/>
        <v>10</v>
      </c>
      <c r="K420" s="17">
        <v>3.05</v>
      </c>
      <c r="L420" s="226">
        <v>50</v>
      </c>
      <c r="M420" s="335">
        <f t="shared" si="332"/>
        <v>4</v>
      </c>
      <c r="N420" s="329">
        <f t="shared" si="312"/>
        <v>40</v>
      </c>
    </row>
    <row r="421" spans="1:14" ht="14.1" customHeight="1">
      <c r="A421" s="32"/>
      <c r="B421" s="33" t="s">
        <v>255</v>
      </c>
      <c r="C421" s="34" t="s">
        <v>221</v>
      </c>
      <c r="D421" s="52">
        <v>200</v>
      </c>
      <c r="E421" s="17">
        <v>400</v>
      </c>
      <c r="F421" s="226">
        <v>500</v>
      </c>
      <c r="G421" s="17"/>
      <c r="H421" s="17">
        <f t="shared" si="335"/>
        <v>500</v>
      </c>
      <c r="I421" s="17">
        <v>-110</v>
      </c>
      <c r="J421" s="17">
        <f t="shared" si="336"/>
        <v>390</v>
      </c>
      <c r="K421" s="17">
        <v>340</v>
      </c>
      <c r="L421" s="226">
        <v>400</v>
      </c>
      <c r="M421" s="335">
        <f t="shared" si="332"/>
        <v>2.564102564102564E-2</v>
      </c>
      <c r="N421" s="329">
        <f t="shared" si="312"/>
        <v>10</v>
      </c>
    </row>
    <row r="422" spans="1:14" ht="14.1" customHeight="1">
      <c r="A422" s="32"/>
      <c r="B422" s="33" t="s">
        <v>256</v>
      </c>
      <c r="C422" s="34" t="s">
        <v>257</v>
      </c>
      <c r="D422" s="52">
        <v>2500</v>
      </c>
      <c r="E422" s="17">
        <v>3716</v>
      </c>
      <c r="F422" s="226">
        <v>3000</v>
      </c>
      <c r="G422" s="17"/>
      <c r="H422" s="17">
        <f t="shared" si="335"/>
        <v>3000</v>
      </c>
      <c r="I422" s="17"/>
      <c r="J422" s="17">
        <f t="shared" si="336"/>
        <v>3000</v>
      </c>
      <c r="K422" s="17">
        <v>1637</v>
      </c>
      <c r="L422" s="226">
        <v>3000</v>
      </c>
      <c r="M422" s="335">
        <f t="shared" si="332"/>
        <v>0</v>
      </c>
      <c r="N422" s="329">
        <f t="shared" si="312"/>
        <v>0</v>
      </c>
    </row>
    <row r="423" spans="1:14" ht="14.1" customHeight="1">
      <c r="A423" s="32"/>
      <c r="B423" s="33">
        <v>5516</v>
      </c>
      <c r="C423" s="34" t="s">
        <v>399</v>
      </c>
      <c r="D423" s="52"/>
      <c r="E423" s="17">
        <v>36</v>
      </c>
      <c r="F423" s="226">
        <v>200</v>
      </c>
      <c r="G423" s="17"/>
      <c r="H423" s="17">
        <f t="shared" si="335"/>
        <v>200</v>
      </c>
      <c r="I423" s="17">
        <v>800</v>
      </c>
      <c r="J423" s="17">
        <f t="shared" si="336"/>
        <v>1000</v>
      </c>
      <c r="K423" s="17">
        <v>748.07</v>
      </c>
      <c r="L423" s="226">
        <v>1000</v>
      </c>
      <c r="M423" s="335">
        <f t="shared" si="332"/>
        <v>0</v>
      </c>
      <c r="N423" s="329">
        <f t="shared" si="312"/>
        <v>0</v>
      </c>
    </row>
    <row r="424" spans="1:14" ht="14.1" customHeight="1">
      <c r="A424" s="32"/>
      <c r="B424" s="33">
        <v>5522</v>
      </c>
      <c r="C424" s="34" t="s">
        <v>262</v>
      </c>
      <c r="D424" s="52">
        <v>50</v>
      </c>
      <c r="E424" s="17">
        <v>75</v>
      </c>
      <c r="F424" s="226">
        <v>100</v>
      </c>
      <c r="G424" s="17"/>
      <c r="H424" s="17">
        <f t="shared" si="335"/>
        <v>100</v>
      </c>
      <c r="I424" s="17"/>
      <c r="J424" s="17">
        <f t="shared" si="336"/>
        <v>100</v>
      </c>
      <c r="K424" s="17">
        <v>0</v>
      </c>
      <c r="L424" s="226">
        <v>100</v>
      </c>
      <c r="M424" s="335">
        <f t="shared" si="332"/>
        <v>0</v>
      </c>
      <c r="N424" s="329">
        <f t="shared" si="312"/>
        <v>0</v>
      </c>
    </row>
    <row r="425" spans="1:14" ht="14.1" customHeight="1">
      <c r="A425" s="32"/>
      <c r="B425" s="33" t="s">
        <v>263</v>
      </c>
      <c r="C425" s="34" t="s">
        <v>264</v>
      </c>
      <c r="D425" s="52">
        <v>0</v>
      </c>
      <c r="E425" s="17">
        <v>50</v>
      </c>
      <c r="F425" s="226">
        <v>100</v>
      </c>
      <c r="G425" s="17"/>
      <c r="H425" s="17">
        <f t="shared" si="335"/>
        <v>100</v>
      </c>
      <c r="I425" s="17"/>
      <c r="J425" s="17">
        <f t="shared" si="336"/>
        <v>100</v>
      </c>
      <c r="K425" s="17">
        <v>0</v>
      </c>
      <c r="L425" s="226">
        <v>100</v>
      </c>
      <c r="M425" s="335">
        <f t="shared" si="332"/>
        <v>0</v>
      </c>
      <c r="N425" s="329">
        <f t="shared" si="312"/>
        <v>0</v>
      </c>
    </row>
    <row r="426" spans="1:14" ht="14.1" customHeight="1">
      <c r="A426" s="32"/>
      <c r="B426" s="33" t="s">
        <v>305</v>
      </c>
      <c r="C426" s="34" t="s">
        <v>348</v>
      </c>
      <c r="D426" s="52">
        <v>600</v>
      </c>
      <c r="E426" s="17">
        <v>1207</v>
      </c>
      <c r="F426" s="226">
        <v>1000</v>
      </c>
      <c r="G426" s="17"/>
      <c r="H426" s="17">
        <f t="shared" si="335"/>
        <v>1000</v>
      </c>
      <c r="I426" s="17">
        <v>-800</v>
      </c>
      <c r="J426" s="17">
        <f t="shared" si="336"/>
        <v>200</v>
      </c>
      <c r="K426" s="17">
        <v>510</v>
      </c>
      <c r="L426" s="226">
        <v>500</v>
      </c>
      <c r="M426" s="335">
        <f t="shared" si="332"/>
        <v>1.5</v>
      </c>
      <c r="N426" s="329">
        <f t="shared" si="312"/>
        <v>300</v>
      </c>
    </row>
    <row r="427" spans="1:14" ht="14.1" customHeight="1">
      <c r="A427" s="56" t="s">
        <v>400</v>
      </c>
      <c r="B427" s="46"/>
      <c r="C427" s="47" t="s">
        <v>401</v>
      </c>
      <c r="D427" s="53">
        <v>39700</v>
      </c>
      <c r="E427" s="50">
        <v>59570</v>
      </c>
      <c r="F427" s="50">
        <f t="shared" ref="F427" si="337">+F428+F429</f>
        <v>58000</v>
      </c>
      <c r="G427" s="50">
        <f t="shared" ref="G427:H427" si="338">+G428+G429</f>
        <v>10000</v>
      </c>
      <c r="H427" s="50">
        <f t="shared" si="338"/>
        <v>68000</v>
      </c>
      <c r="I427" s="50">
        <f t="shared" ref="I427:J427" si="339">+I428+I429</f>
        <v>2450</v>
      </c>
      <c r="J427" s="50">
        <f t="shared" si="339"/>
        <v>70450</v>
      </c>
      <c r="K427" s="50">
        <f t="shared" ref="K427:L427" si="340">+K428+K429</f>
        <v>62956</v>
      </c>
      <c r="L427" s="50">
        <f t="shared" si="340"/>
        <v>75000</v>
      </c>
      <c r="M427" s="335">
        <f t="shared" si="332"/>
        <v>6.4584811923349889E-2</v>
      </c>
      <c r="N427" s="329">
        <f t="shared" si="312"/>
        <v>4550</v>
      </c>
    </row>
    <row r="428" spans="1:14" ht="14.1" customHeight="1">
      <c r="A428" s="84"/>
      <c r="B428" s="33">
        <v>4521</v>
      </c>
      <c r="C428" s="34" t="s">
        <v>402</v>
      </c>
      <c r="D428" s="52">
        <v>19700</v>
      </c>
      <c r="E428" s="140">
        <v>33321</v>
      </c>
      <c r="F428" s="140">
        <v>40000</v>
      </c>
      <c r="G428" s="140">
        <v>8000</v>
      </c>
      <c r="H428" s="140">
        <f>+F428+G428</f>
        <v>48000</v>
      </c>
      <c r="I428" s="226">
        <f>150+1600+200+200+500+300</f>
        <v>2950</v>
      </c>
      <c r="J428" s="140">
        <f>+H428+I428</f>
        <v>50950</v>
      </c>
      <c r="K428" s="140">
        <v>45550</v>
      </c>
      <c r="L428" s="140">
        <v>48000</v>
      </c>
      <c r="M428" s="335">
        <f t="shared" si="332"/>
        <v>-5.7899901864573111E-2</v>
      </c>
      <c r="N428" s="329">
        <f t="shared" si="312"/>
        <v>-2950</v>
      </c>
    </row>
    <row r="429" spans="1:14" ht="14.1" customHeight="1">
      <c r="A429" s="84"/>
      <c r="B429" s="33">
        <v>55</v>
      </c>
      <c r="C429" s="34" t="s">
        <v>213</v>
      </c>
      <c r="D429" s="52">
        <v>20000</v>
      </c>
      <c r="E429" s="137">
        <v>26249</v>
      </c>
      <c r="F429" s="137">
        <f t="shared" ref="F429:H429" si="341">+F430+F431+F432+F433+F434+F436+F437+F435</f>
        <v>18000</v>
      </c>
      <c r="G429" s="137">
        <f t="shared" si="341"/>
        <v>2000</v>
      </c>
      <c r="H429" s="137">
        <f t="shared" si="341"/>
        <v>20000</v>
      </c>
      <c r="I429" s="137">
        <f t="shared" ref="I429:K429" si="342">+I430+I431+I432+I433+I434+I436+I437+I435</f>
        <v>-500</v>
      </c>
      <c r="J429" s="137">
        <f t="shared" si="342"/>
        <v>19500</v>
      </c>
      <c r="K429" s="137">
        <f t="shared" si="342"/>
        <v>17406</v>
      </c>
      <c r="L429" s="137">
        <f t="shared" ref="L429" si="343">+L430+L431+L432+L433+L434+L436+L437+L435</f>
        <v>27000</v>
      </c>
      <c r="M429" s="335">
        <f t="shared" si="332"/>
        <v>0.38461538461538464</v>
      </c>
      <c r="N429" s="329">
        <f t="shared" si="312"/>
        <v>7500</v>
      </c>
    </row>
    <row r="430" spans="1:14" ht="12.95" customHeight="1">
      <c r="A430" s="84"/>
      <c r="B430" s="33">
        <v>5500</v>
      </c>
      <c r="C430" s="34" t="s">
        <v>227</v>
      </c>
      <c r="D430" s="52">
        <v>0</v>
      </c>
      <c r="E430" s="17">
        <v>0</v>
      </c>
      <c r="F430" s="226">
        <v>0</v>
      </c>
      <c r="G430" s="17"/>
      <c r="H430" s="17">
        <f t="shared" ref="H430:H437" si="344">+G430+F430</f>
        <v>0</v>
      </c>
      <c r="I430" s="17"/>
      <c r="J430" s="17">
        <f t="shared" ref="J430:J437" si="345">+I430+H430</f>
        <v>0</v>
      </c>
      <c r="K430" s="17"/>
      <c r="L430" s="226">
        <v>5000</v>
      </c>
      <c r="M430" s="335" t="e">
        <f t="shared" si="332"/>
        <v>#DIV/0!</v>
      </c>
      <c r="N430" s="329">
        <f t="shared" si="312"/>
        <v>5000</v>
      </c>
    </row>
    <row r="431" spans="1:14" ht="14.1" hidden="1" customHeight="1">
      <c r="A431" s="84"/>
      <c r="B431" s="33">
        <v>5504</v>
      </c>
      <c r="C431" s="34" t="s">
        <v>403</v>
      </c>
      <c r="D431" s="52">
        <v>0</v>
      </c>
      <c r="E431" s="17">
        <v>0</v>
      </c>
      <c r="F431" s="226">
        <v>0</v>
      </c>
      <c r="G431" s="17"/>
      <c r="H431" s="17">
        <f t="shared" si="344"/>
        <v>0</v>
      </c>
      <c r="I431" s="17"/>
      <c r="J431" s="17">
        <f t="shared" si="345"/>
        <v>0</v>
      </c>
      <c r="K431" s="17"/>
      <c r="L431" s="226"/>
      <c r="M431" s="335" t="e">
        <f t="shared" si="332"/>
        <v>#DIV/0!</v>
      </c>
      <c r="N431" s="329">
        <f t="shared" si="312"/>
        <v>0</v>
      </c>
    </row>
    <row r="432" spans="1:14" ht="14.1" hidden="1" customHeight="1">
      <c r="A432" s="84"/>
      <c r="B432" s="33">
        <v>5511</v>
      </c>
      <c r="C432" s="34" t="s">
        <v>404</v>
      </c>
      <c r="D432" s="52">
        <v>0</v>
      </c>
      <c r="E432" s="17">
        <v>0</v>
      </c>
      <c r="F432" s="226">
        <v>0</v>
      </c>
      <c r="G432" s="17"/>
      <c r="H432" s="17">
        <f t="shared" si="344"/>
        <v>0</v>
      </c>
      <c r="I432" s="17"/>
      <c r="J432" s="17">
        <f t="shared" si="345"/>
        <v>0</v>
      </c>
      <c r="K432" s="17"/>
      <c r="L432" s="226"/>
      <c r="M432" s="335" t="e">
        <f t="shared" si="332"/>
        <v>#DIV/0!</v>
      </c>
      <c r="N432" s="329">
        <f t="shared" si="312"/>
        <v>0</v>
      </c>
    </row>
    <row r="433" spans="1:14" ht="14.1" hidden="1" customHeight="1">
      <c r="A433" s="84"/>
      <c r="B433" s="33">
        <v>5513</v>
      </c>
      <c r="C433" s="34" t="s">
        <v>254</v>
      </c>
      <c r="D433" s="52">
        <v>0</v>
      </c>
      <c r="E433" s="17">
        <v>0</v>
      </c>
      <c r="F433" s="226">
        <v>0</v>
      </c>
      <c r="G433" s="17"/>
      <c r="H433" s="17">
        <f t="shared" si="344"/>
        <v>0</v>
      </c>
      <c r="I433" s="17"/>
      <c r="J433" s="17">
        <f t="shared" si="345"/>
        <v>0</v>
      </c>
      <c r="K433" s="17"/>
      <c r="L433" s="226"/>
      <c r="M433" s="335" t="e">
        <f t="shared" si="332"/>
        <v>#DIV/0!</v>
      </c>
      <c r="N433" s="329">
        <f t="shared" si="312"/>
        <v>0</v>
      </c>
    </row>
    <row r="434" spans="1:14" ht="14.1" customHeight="1">
      <c r="A434" s="84"/>
      <c r="B434" s="33">
        <v>5515</v>
      </c>
      <c r="C434" s="34" t="s">
        <v>257</v>
      </c>
      <c r="D434" s="52">
        <v>0</v>
      </c>
      <c r="E434" s="17">
        <v>0</v>
      </c>
      <c r="F434" s="226">
        <v>0</v>
      </c>
      <c r="G434" s="17"/>
      <c r="H434" s="17">
        <f t="shared" si="344"/>
        <v>0</v>
      </c>
      <c r="I434" s="17"/>
      <c r="J434" s="17">
        <f t="shared" si="345"/>
        <v>0</v>
      </c>
      <c r="K434" s="17">
        <v>2007</v>
      </c>
      <c r="L434" s="226">
        <v>2500</v>
      </c>
      <c r="M434" s="335" t="e">
        <f t="shared" si="332"/>
        <v>#DIV/0!</v>
      </c>
      <c r="N434" s="329">
        <f t="shared" si="312"/>
        <v>2500</v>
      </c>
    </row>
    <row r="435" spans="1:14" ht="14.1" customHeight="1">
      <c r="A435" s="84"/>
      <c r="B435" s="33">
        <v>5521</v>
      </c>
      <c r="C435" s="34" t="s">
        <v>353</v>
      </c>
      <c r="D435" s="52"/>
      <c r="E435" s="17">
        <v>1463</v>
      </c>
      <c r="F435" s="226"/>
      <c r="G435" s="17"/>
      <c r="H435" s="17">
        <f t="shared" si="344"/>
        <v>0</v>
      </c>
      <c r="I435" s="17"/>
      <c r="J435" s="17">
        <f t="shared" si="345"/>
        <v>0</v>
      </c>
      <c r="K435" s="17"/>
      <c r="L435" s="226"/>
      <c r="M435" s="335" t="e">
        <f t="shared" si="332"/>
        <v>#DIV/0!</v>
      </c>
      <c r="N435" s="329">
        <f t="shared" si="312"/>
        <v>0</v>
      </c>
    </row>
    <row r="436" spans="1:14" ht="14.1" customHeight="1">
      <c r="A436" s="84"/>
      <c r="B436" s="33">
        <v>5525</v>
      </c>
      <c r="C436" s="34" t="s">
        <v>264</v>
      </c>
      <c r="D436" s="52">
        <v>0</v>
      </c>
      <c r="E436" s="17">
        <v>6588</v>
      </c>
      <c r="F436" s="226">
        <f>2500+1500</f>
        <v>4000</v>
      </c>
      <c r="G436" s="194">
        <v>2000</v>
      </c>
      <c r="H436" s="17">
        <f t="shared" si="344"/>
        <v>6000</v>
      </c>
      <c r="I436" s="17">
        <v>-500</v>
      </c>
      <c r="J436" s="17">
        <f t="shared" si="345"/>
        <v>5500</v>
      </c>
      <c r="K436" s="17">
        <v>598</v>
      </c>
      <c r="L436" s="226">
        <v>5500</v>
      </c>
      <c r="M436" s="335">
        <f t="shared" si="332"/>
        <v>0</v>
      </c>
      <c r="N436" s="329">
        <f t="shared" si="312"/>
        <v>0</v>
      </c>
    </row>
    <row r="437" spans="1:14" s="8" customFormat="1" ht="14.1" customHeight="1">
      <c r="A437" s="84"/>
      <c r="B437" s="33">
        <v>5540</v>
      </c>
      <c r="C437" s="34" t="s">
        <v>348</v>
      </c>
      <c r="D437" s="52">
        <v>0</v>
      </c>
      <c r="E437" s="17">
        <v>18198</v>
      </c>
      <c r="F437" s="226">
        <v>14000</v>
      </c>
      <c r="G437" s="17"/>
      <c r="H437" s="17">
        <f t="shared" si="344"/>
        <v>14000</v>
      </c>
      <c r="I437" s="17"/>
      <c r="J437" s="17">
        <f t="shared" si="345"/>
        <v>14000</v>
      </c>
      <c r="K437" s="17">
        <v>14801</v>
      </c>
      <c r="L437" s="226">
        <v>14000</v>
      </c>
      <c r="M437" s="335">
        <f t="shared" si="332"/>
        <v>0</v>
      </c>
      <c r="N437" s="329">
        <f t="shared" si="312"/>
        <v>0</v>
      </c>
    </row>
    <row r="438" spans="1:14" ht="14.1" customHeight="1">
      <c r="A438" s="56" t="s">
        <v>405</v>
      </c>
      <c r="B438" s="46"/>
      <c r="C438" s="47" t="s">
        <v>406</v>
      </c>
      <c r="D438" s="103">
        <v>82010</v>
      </c>
      <c r="E438" s="50">
        <v>89745</v>
      </c>
      <c r="F438" s="50">
        <f t="shared" ref="F438" si="346">+F439+F440</f>
        <v>128019</v>
      </c>
      <c r="G438" s="50">
        <f t="shared" ref="G438:H438" si="347">+G439+G440</f>
        <v>-14000</v>
      </c>
      <c r="H438" s="50">
        <f t="shared" si="347"/>
        <v>114019</v>
      </c>
      <c r="I438" s="50">
        <f t="shared" ref="I438:J438" si="348">+I439+I440</f>
        <v>0</v>
      </c>
      <c r="J438" s="50">
        <f t="shared" si="348"/>
        <v>114019</v>
      </c>
      <c r="K438" s="50">
        <f t="shared" ref="K438:L438" si="349">+K439+K440</f>
        <v>67860</v>
      </c>
      <c r="L438" s="50">
        <f t="shared" si="349"/>
        <v>127500</v>
      </c>
      <c r="M438" s="335">
        <f t="shared" si="332"/>
        <v>0.11823468018488147</v>
      </c>
      <c r="N438" s="329">
        <f t="shared" si="312"/>
        <v>13481</v>
      </c>
    </row>
    <row r="439" spans="1:14" ht="14.1" customHeight="1">
      <c r="A439" s="37"/>
      <c r="B439" s="38" t="s">
        <v>210</v>
      </c>
      <c r="C439" s="39" t="s">
        <v>211</v>
      </c>
      <c r="D439" s="52">
        <v>19910</v>
      </c>
      <c r="E439" s="143">
        <v>24800</v>
      </c>
      <c r="F439" s="226">
        <v>27804</v>
      </c>
      <c r="G439" s="143"/>
      <c r="H439" s="143">
        <f t="shared" ref="H439" si="350">+G439+F439</f>
        <v>27804</v>
      </c>
      <c r="I439" s="143"/>
      <c r="J439" s="143">
        <f t="shared" ref="J439" si="351">+I439+H439</f>
        <v>27804</v>
      </c>
      <c r="K439" s="143">
        <v>18965</v>
      </c>
      <c r="L439" s="225">
        <v>33000</v>
      </c>
      <c r="M439" s="335">
        <f t="shared" si="332"/>
        <v>0.18687958567112645</v>
      </c>
      <c r="N439" s="329">
        <f t="shared" si="312"/>
        <v>5196</v>
      </c>
    </row>
    <row r="440" spans="1:14" ht="14.1" customHeight="1">
      <c r="A440" s="32"/>
      <c r="B440" s="38" t="s">
        <v>212</v>
      </c>
      <c r="C440" s="39" t="s">
        <v>213</v>
      </c>
      <c r="D440" s="52">
        <v>62100</v>
      </c>
      <c r="E440" s="137">
        <v>64945</v>
      </c>
      <c r="F440" s="137">
        <f>+F441+F442+F443+F444+F456+F457+F458+F459+F461+F462+F464+F460+F455</f>
        <v>100215</v>
      </c>
      <c r="G440" s="137">
        <f t="shared" ref="G440:H440" si="352">+G441+G442+G443+G444+G456+G457+G458+G459+G461+G462+G464+G460+G455</f>
        <v>-14000</v>
      </c>
      <c r="H440" s="137">
        <f t="shared" si="352"/>
        <v>86215</v>
      </c>
      <c r="I440" s="137">
        <f t="shared" ref="I440" si="353">+I441+I442+I443+I444+I456+I457+I458+I459+I461+I462+I464+I460+I455</f>
        <v>0</v>
      </c>
      <c r="J440" s="137">
        <f t="shared" ref="J440:K440" si="354">+J441+J442+J443+J444+J456+J457+J458+J459+J461+J462+J464+J460+J455+J463</f>
        <v>86215</v>
      </c>
      <c r="K440" s="137">
        <f t="shared" si="354"/>
        <v>48895</v>
      </c>
      <c r="L440" s="137">
        <f>+L441+L442+L443+L444+L456+L457+L458+L459+L461+L462+L464+L460+L455+L463</f>
        <v>94500</v>
      </c>
      <c r="M440" s="335">
        <f t="shared" si="332"/>
        <v>9.6096966885112794E-2</v>
      </c>
      <c r="N440" s="329">
        <f t="shared" si="312"/>
        <v>8285</v>
      </c>
    </row>
    <row r="441" spans="1:14" ht="14.1" customHeight="1">
      <c r="A441" s="32"/>
      <c r="B441" s="33" t="s">
        <v>214</v>
      </c>
      <c r="C441" s="34" t="s">
        <v>227</v>
      </c>
      <c r="D441" s="52">
        <v>200</v>
      </c>
      <c r="E441" s="17">
        <v>0</v>
      </c>
      <c r="F441" s="226">
        <v>1250</v>
      </c>
      <c r="G441" s="17"/>
      <c r="H441" s="17">
        <f t="shared" ref="H441:H443" si="355">+G441+F441</f>
        <v>1250</v>
      </c>
      <c r="I441" s="17"/>
      <c r="J441" s="17">
        <f t="shared" ref="J441:J443" si="356">+I441+H441</f>
        <v>1250</v>
      </c>
      <c r="K441" s="17"/>
      <c r="L441" s="226">
        <v>800</v>
      </c>
      <c r="M441" s="335">
        <f t="shared" si="332"/>
        <v>-0.36</v>
      </c>
      <c r="N441" s="329">
        <f t="shared" si="312"/>
        <v>-450</v>
      </c>
    </row>
    <row r="442" spans="1:14" ht="14.1" customHeight="1">
      <c r="A442" s="32"/>
      <c r="B442" s="33">
        <v>5503</v>
      </c>
      <c r="C442" s="34" t="s">
        <v>216</v>
      </c>
      <c r="D442" s="52">
        <v>0</v>
      </c>
      <c r="E442" s="17">
        <v>0</v>
      </c>
      <c r="F442" s="226">
        <v>0</v>
      </c>
      <c r="G442" s="17"/>
      <c r="H442" s="17">
        <f t="shared" si="355"/>
        <v>0</v>
      </c>
      <c r="I442" s="17"/>
      <c r="J442" s="17">
        <f t="shared" si="356"/>
        <v>0</v>
      </c>
      <c r="K442" s="17"/>
      <c r="L442" s="226"/>
      <c r="M442" s="335" t="e">
        <f t="shared" si="332"/>
        <v>#DIV/0!</v>
      </c>
      <c r="N442" s="329">
        <f t="shared" si="312"/>
        <v>0</v>
      </c>
    </row>
    <row r="443" spans="1:14" ht="14.1" customHeight="1">
      <c r="A443" s="32"/>
      <c r="B443" s="33" t="s">
        <v>217</v>
      </c>
      <c r="C443" s="34" t="s">
        <v>230</v>
      </c>
      <c r="D443" s="52">
        <v>0</v>
      </c>
      <c r="E443" s="17">
        <v>0</v>
      </c>
      <c r="F443" s="226">
        <v>0</v>
      </c>
      <c r="G443" s="17"/>
      <c r="H443" s="17">
        <f t="shared" si="355"/>
        <v>0</v>
      </c>
      <c r="I443" s="17"/>
      <c r="J443" s="17">
        <f t="shared" si="356"/>
        <v>0</v>
      </c>
      <c r="K443" s="17"/>
      <c r="L443" s="226"/>
      <c r="M443" s="335" t="e">
        <f t="shared" si="332"/>
        <v>#DIV/0!</v>
      </c>
      <c r="N443" s="329">
        <f t="shared" si="312"/>
        <v>0</v>
      </c>
    </row>
    <row r="444" spans="1:14" ht="14.1" customHeight="1">
      <c r="A444" s="32"/>
      <c r="B444" s="33" t="s">
        <v>231</v>
      </c>
      <c r="C444" s="34" t="s">
        <v>404</v>
      </c>
      <c r="D444" s="52">
        <v>58100</v>
      </c>
      <c r="E444" s="17">
        <v>58600</v>
      </c>
      <c r="F444" s="226">
        <f>SUM(F445:F454)</f>
        <v>82665</v>
      </c>
      <c r="G444" s="17">
        <f t="shared" ref="G444:H444" si="357">SUM(G445:G454)</f>
        <v>-14000</v>
      </c>
      <c r="H444" s="17">
        <f t="shared" si="357"/>
        <v>68665</v>
      </c>
      <c r="I444" s="17">
        <f t="shared" ref="I444:K444" si="358">SUM(I445:I454)</f>
        <v>0</v>
      </c>
      <c r="J444" s="17">
        <f t="shared" si="358"/>
        <v>68665</v>
      </c>
      <c r="K444" s="17">
        <f t="shared" si="358"/>
        <v>41939</v>
      </c>
      <c r="L444" s="226">
        <f>SUM(L445:L454)</f>
        <v>77450</v>
      </c>
      <c r="M444" s="335">
        <f t="shared" si="332"/>
        <v>0.12793999854365398</v>
      </c>
      <c r="N444" s="329">
        <f t="shared" si="312"/>
        <v>8785</v>
      </c>
    </row>
    <row r="445" spans="1:14" s="142" customFormat="1" ht="14.1" customHeight="1">
      <c r="A445" s="144"/>
      <c r="B445" s="145"/>
      <c r="C445" s="146" t="s">
        <v>407</v>
      </c>
      <c r="D445" s="148">
        <v>30000</v>
      </c>
      <c r="E445" s="147">
        <v>27000</v>
      </c>
      <c r="F445" s="229">
        <v>45000</v>
      </c>
      <c r="G445" s="147">
        <v>-20000</v>
      </c>
      <c r="H445" s="147">
        <f>+F445+G445</f>
        <v>25000</v>
      </c>
      <c r="I445" s="147"/>
      <c r="J445" s="147">
        <f>+H445+I445</f>
        <v>25000</v>
      </c>
      <c r="K445" s="147">
        <v>14911</v>
      </c>
      <c r="L445" s="229">
        <v>30000</v>
      </c>
      <c r="M445" s="335">
        <f t="shared" si="332"/>
        <v>0.2</v>
      </c>
      <c r="N445" s="329">
        <f t="shared" si="312"/>
        <v>5000</v>
      </c>
    </row>
    <row r="446" spans="1:14" s="142" customFormat="1" ht="14.1" customHeight="1">
      <c r="A446" s="144"/>
      <c r="B446" s="145"/>
      <c r="C446" s="146" t="s">
        <v>408</v>
      </c>
      <c r="D446" s="148">
        <v>7500</v>
      </c>
      <c r="E446" s="147">
        <v>11000</v>
      </c>
      <c r="F446" s="229">
        <v>10000</v>
      </c>
      <c r="G446" s="147">
        <v>5000</v>
      </c>
      <c r="H446" s="147">
        <f t="shared" ref="H446:H454" si="359">+F446+G446</f>
        <v>15000</v>
      </c>
      <c r="I446" s="147">
        <v>-20</v>
      </c>
      <c r="J446" s="147">
        <f t="shared" ref="J446:J454" si="360">+H446+I446</f>
        <v>14980</v>
      </c>
      <c r="K446" s="147">
        <v>7246</v>
      </c>
      <c r="L446" s="229">
        <v>16800</v>
      </c>
      <c r="M446" s="335">
        <f t="shared" si="332"/>
        <v>0.12149532710280374</v>
      </c>
      <c r="N446" s="329">
        <f t="shared" si="312"/>
        <v>1820</v>
      </c>
    </row>
    <row r="447" spans="1:14" s="142" customFormat="1" ht="14.1" customHeight="1">
      <c r="A447" s="144"/>
      <c r="B447" s="145"/>
      <c r="C447" s="146" t="s">
        <v>409</v>
      </c>
      <c r="D447" s="148">
        <v>6000</v>
      </c>
      <c r="E447" s="147">
        <v>4500</v>
      </c>
      <c r="F447" s="229">
        <v>4000</v>
      </c>
      <c r="G447" s="147">
        <v>1000</v>
      </c>
      <c r="H447" s="147">
        <f t="shared" si="359"/>
        <v>5000</v>
      </c>
      <c r="I447" s="147"/>
      <c r="J447" s="147">
        <f t="shared" si="360"/>
        <v>5000</v>
      </c>
      <c r="K447" s="147">
        <v>4353</v>
      </c>
      <c r="L447" s="229">
        <v>5000</v>
      </c>
      <c r="M447" s="335">
        <f t="shared" si="332"/>
        <v>0</v>
      </c>
      <c r="N447" s="329">
        <f t="shared" si="312"/>
        <v>0</v>
      </c>
    </row>
    <row r="448" spans="1:14" s="142" customFormat="1" ht="14.1" customHeight="1">
      <c r="A448" s="144"/>
      <c r="B448" s="145"/>
      <c r="C448" s="146" t="s">
        <v>410</v>
      </c>
      <c r="D448" s="148">
        <v>3000</v>
      </c>
      <c r="E448" s="147">
        <v>4000</v>
      </c>
      <c r="F448" s="229">
        <v>10400</v>
      </c>
      <c r="G448" s="147"/>
      <c r="H448" s="147">
        <f t="shared" si="359"/>
        <v>10400</v>
      </c>
      <c r="I448" s="147"/>
      <c r="J448" s="147">
        <f t="shared" si="360"/>
        <v>10400</v>
      </c>
      <c r="K448" s="147">
        <v>4298</v>
      </c>
      <c r="L448" s="229">
        <v>11000</v>
      </c>
      <c r="M448" s="335">
        <f t="shared" si="332"/>
        <v>5.7692307692307696E-2</v>
      </c>
      <c r="N448" s="329">
        <f t="shared" si="312"/>
        <v>600</v>
      </c>
    </row>
    <row r="449" spans="1:14" s="142" customFormat="1" ht="14.1" customHeight="1">
      <c r="A449" s="144"/>
      <c r="B449" s="145"/>
      <c r="C449" s="146" t="s">
        <v>411</v>
      </c>
      <c r="D449" s="148">
        <v>3500</v>
      </c>
      <c r="E449" s="147">
        <v>4000</v>
      </c>
      <c r="F449" s="229">
        <v>3600</v>
      </c>
      <c r="G449" s="147"/>
      <c r="H449" s="147">
        <f t="shared" si="359"/>
        <v>3600</v>
      </c>
      <c r="I449" s="147"/>
      <c r="J449" s="147">
        <f t="shared" si="360"/>
        <v>3600</v>
      </c>
      <c r="K449" s="147">
        <v>2198</v>
      </c>
      <c r="L449" s="229">
        <v>3700</v>
      </c>
      <c r="M449" s="335">
        <f t="shared" si="332"/>
        <v>2.7777777777777776E-2</v>
      </c>
      <c r="N449" s="329">
        <f t="shared" si="312"/>
        <v>100</v>
      </c>
    </row>
    <row r="450" spans="1:14" s="142" customFormat="1" ht="14.1" customHeight="1">
      <c r="A450" s="144"/>
      <c r="B450" s="145"/>
      <c r="C450" s="146" t="s">
        <v>412</v>
      </c>
      <c r="D450" s="148">
        <v>350</v>
      </c>
      <c r="E450" s="147">
        <v>1200</v>
      </c>
      <c r="F450" s="229">
        <v>800</v>
      </c>
      <c r="G450" s="147"/>
      <c r="H450" s="147">
        <f t="shared" si="359"/>
        <v>800</v>
      </c>
      <c r="I450" s="147"/>
      <c r="J450" s="147">
        <f t="shared" si="360"/>
        <v>800</v>
      </c>
      <c r="K450" s="147">
        <v>1263</v>
      </c>
      <c r="L450" s="229">
        <v>850</v>
      </c>
      <c r="M450" s="335">
        <f t="shared" si="332"/>
        <v>6.25E-2</v>
      </c>
      <c r="N450" s="329">
        <f t="shared" si="312"/>
        <v>50</v>
      </c>
    </row>
    <row r="451" spans="1:14" s="142" customFormat="1" ht="14.1" customHeight="1">
      <c r="A451" s="144"/>
      <c r="B451" s="145"/>
      <c r="C451" s="146" t="s">
        <v>413</v>
      </c>
      <c r="D451" s="151">
        <v>1200</v>
      </c>
      <c r="E451" s="147">
        <v>1200</v>
      </c>
      <c r="F451" s="229">
        <v>0</v>
      </c>
      <c r="G451" s="147"/>
      <c r="H451" s="147">
        <f t="shared" si="359"/>
        <v>0</v>
      </c>
      <c r="I451" s="147"/>
      <c r="J451" s="147">
        <f t="shared" si="360"/>
        <v>0</v>
      </c>
      <c r="K451" s="147"/>
      <c r="L451" s="229">
        <v>0</v>
      </c>
      <c r="M451" s="335" t="e">
        <f t="shared" si="332"/>
        <v>#DIV/0!</v>
      </c>
      <c r="N451" s="329">
        <f t="shared" si="312"/>
        <v>0</v>
      </c>
    </row>
    <row r="452" spans="1:14" s="142" customFormat="1" ht="14.1" customHeight="1">
      <c r="A452" s="144"/>
      <c r="B452" s="145"/>
      <c r="C452" s="146" t="s">
        <v>414</v>
      </c>
      <c r="D452" s="151">
        <v>6000</v>
      </c>
      <c r="E452" s="147">
        <v>3000</v>
      </c>
      <c r="F452" s="229">
        <v>5000</v>
      </c>
      <c r="G452" s="147"/>
      <c r="H452" s="147">
        <f t="shared" si="359"/>
        <v>5000</v>
      </c>
      <c r="I452" s="147"/>
      <c r="J452" s="147">
        <f t="shared" si="360"/>
        <v>5000</v>
      </c>
      <c r="K452" s="147">
        <v>6133</v>
      </c>
      <c r="L452" s="229">
        <v>6100</v>
      </c>
      <c r="M452" s="335">
        <f t="shared" si="332"/>
        <v>0.22</v>
      </c>
      <c r="N452" s="329">
        <f t="shared" si="312"/>
        <v>1100</v>
      </c>
    </row>
    <row r="453" spans="1:14" s="142" customFormat="1" ht="14.1" customHeight="1">
      <c r="A453" s="144"/>
      <c r="B453" s="145"/>
      <c r="C453" s="146" t="s">
        <v>415</v>
      </c>
      <c r="D453" s="151">
        <v>550</v>
      </c>
      <c r="E453" s="147">
        <v>550</v>
      </c>
      <c r="F453" s="229">
        <v>665</v>
      </c>
      <c r="G453" s="147"/>
      <c r="H453" s="147">
        <f t="shared" si="359"/>
        <v>665</v>
      </c>
      <c r="I453" s="147">
        <v>20</v>
      </c>
      <c r="J453" s="147">
        <f t="shared" si="360"/>
        <v>685</v>
      </c>
      <c r="K453" s="293">
        <v>685</v>
      </c>
      <c r="L453" s="229">
        <v>700</v>
      </c>
      <c r="M453" s="335">
        <f t="shared" si="332"/>
        <v>2.1897810218978103E-2</v>
      </c>
      <c r="N453" s="329">
        <f t="shared" si="312"/>
        <v>15</v>
      </c>
    </row>
    <row r="454" spans="1:14" s="142" customFormat="1" ht="14.1" customHeight="1">
      <c r="A454" s="144"/>
      <c r="B454" s="145"/>
      <c r="C454" s="146" t="s">
        <v>416</v>
      </c>
      <c r="D454" s="151">
        <v>0</v>
      </c>
      <c r="E454" s="147">
        <v>2150</v>
      </c>
      <c r="F454" s="229">
        <v>3200</v>
      </c>
      <c r="G454" s="147"/>
      <c r="H454" s="147">
        <f t="shared" si="359"/>
        <v>3200</v>
      </c>
      <c r="I454" s="147"/>
      <c r="J454" s="147">
        <f t="shared" si="360"/>
        <v>3200</v>
      </c>
      <c r="K454" s="147">
        <v>852</v>
      </c>
      <c r="L454" s="229">
        <v>3300</v>
      </c>
      <c r="M454" s="335">
        <f t="shared" si="332"/>
        <v>3.125E-2</v>
      </c>
      <c r="N454" s="329">
        <f t="shared" ref="N454:N517" si="361">L454-J454</f>
        <v>100</v>
      </c>
    </row>
    <row r="455" spans="1:14" s="142" customFormat="1" ht="14.1" customHeight="1">
      <c r="A455" s="144"/>
      <c r="B455" s="145">
        <v>5512</v>
      </c>
      <c r="C455" s="159" t="s">
        <v>417</v>
      </c>
      <c r="D455" s="154"/>
      <c r="E455" s="155">
        <v>0</v>
      </c>
      <c r="F455" s="226">
        <v>1600</v>
      </c>
      <c r="G455" s="17"/>
      <c r="H455" s="17">
        <f t="shared" ref="H455:H464" si="362">+G455+F455</f>
        <v>1600</v>
      </c>
      <c r="I455" s="17"/>
      <c r="J455" s="17">
        <f t="shared" ref="J455:J464" si="363">+I455+H455</f>
        <v>1600</v>
      </c>
      <c r="K455" s="17">
        <v>1596</v>
      </c>
      <c r="L455" s="226">
        <v>1750</v>
      </c>
      <c r="M455" s="335">
        <f t="shared" si="332"/>
        <v>9.375E-2</v>
      </c>
      <c r="N455" s="329">
        <f t="shared" si="361"/>
        <v>150</v>
      </c>
    </row>
    <row r="456" spans="1:14" ht="14.1" customHeight="1">
      <c r="A456" s="32"/>
      <c r="B456" s="33" t="s">
        <v>253</v>
      </c>
      <c r="C456" s="34" t="s">
        <v>254</v>
      </c>
      <c r="D456" s="52">
        <v>0</v>
      </c>
      <c r="E456" s="17">
        <v>0</v>
      </c>
      <c r="F456" s="226">
        <v>0</v>
      </c>
      <c r="G456" s="17"/>
      <c r="H456" s="17">
        <f t="shared" si="362"/>
        <v>0</v>
      </c>
      <c r="I456" s="17"/>
      <c r="J456" s="17">
        <f t="shared" si="363"/>
        <v>0</v>
      </c>
      <c r="K456" s="17"/>
      <c r="L456" s="226"/>
      <c r="M456" s="335" t="e">
        <f t="shared" si="332"/>
        <v>#DIV/0!</v>
      </c>
      <c r="N456" s="329">
        <f t="shared" si="361"/>
        <v>0</v>
      </c>
    </row>
    <row r="457" spans="1:14" ht="14.1" customHeight="1">
      <c r="A457" s="32"/>
      <c r="B457" s="33" t="s">
        <v>255</v>
      </c>
      <c r="C457" s="34" t="s">
        <v>221</v>
      </c>
      <c r="D457" s="52">
        <v>3800</v>
      </c>
      <c r="E457" s="17">
        <v>250</v>
      </c>
      <c r="F457" s="226">
        <v>450</v>
      </c>
      <c r="G457" s="17"/>
      <c r="H457" s="17">
        <f t="shared" si="362"/>
        <v>450</v>
      </c>
      <c r="I457" s="17"/>
      <c r="J457" s="17">
        <f t="shared" si="363"/>
        <v>450</v>
      </c>
      <c r="K457" s="17">
        <v>130</v>
      </c>
      <c r="L457" s="226">
        <v>450</v>
      </c>
      <c r="M457" s="335">
        <f t="shared" si="332"/>
        <v>0</v>
      </c>
      <c r="N457" s="329">
        <f t="shared" si="361"/>
        <v>0</v>
      </c>
    </row>
    <row r="458" spans="1:14" ht="14.1" customHeight="1">
      <c r="A458" s="32"/>
      <c r="B458" s="33" t="s">
        <v>256</v>
      </c>
      <c r="C458" s="34" t="s">
        <v>257</v>
      </c>
      <c r="D458" s="52">
        <v>0</v>
      </c>
      <c r="E458" s="17">
        <v>595</v>
      </c>
      <c r="F458" s="226">
        <v>3000</v>
      </c>
      <c r="G458" s="17"/>
      <c r="H458" s="17">
        <f t="shared" si="362"/>
        <v>3000</v>
      </c>
      <c r="I458" s="17"/>
      <c r="J458" s="17">
        <f t="shared" si="363"/>
        <v>3000</v>
      </c>
      <c r="K458" s="17">
        <v>154</v>
      </c>
      <c r="L458" s="226">
        <v>3000</v>
      </c>
      <c r="M458" s="335">
        <f t="shared" si="332"/>
        <v>0</v>
      </c>
      <c r="N458" s="329">
        <f t="shared" si="361"/>
        <v>0</v>
      </c>
    </row>
    <row r="459" spans="1:14" ht="14.1" customHeight="1">
      <c r="A459" s="32"/>
      <c r="B459" s="33">
        <v>5516</v>
      </c>
      <c r="C459" s="43" t="s">
        <v>375</v>
      </c>
      <c r="D459" s="52">
        <v>0</v>
      </c>
      <c r="E459" s="17">
        <v>5500</v>
      </c>
      <c r="F459" s="226">
        <v>10000</v>
      </c>
      <c r="G459" s="17"/>
      <c r="H459" s="17">
        <f t="shared" si="362"/>
        <v>10000</v>
      </c>
      <c r="I459" s="17"/>
      <c r="J459" s="17">
        <f t="shared" si="363"/>
        <v>10000</v>
      </c>
      <c r="K459" s="17">
        <v>5076</v>
      </c>
      <c r="L459" s="226">
        <v>10000</v>
      </c>
      <c r="M459" s="335">
        <f t="shared" si="332"/>
        <v>0</v>
      </c>
      <c r="N459" s="329">
        <f t="shared" si="361"/>
        <v>0</v>
      </c>
    </row>
    <row r="460" spans="1:14" ht="14.1" customHeight="1">
      <c r="A460" s="32"/>
      <c r="B460" s="33">
        <v>5521</v>
      </c>
      <c r="C460" s="34" t="s">
        <v>418</v>
      </c>
      <c r="D460" s="52"/>
      <c r="E460" s="17">
        <v>0</v>
      </c>
      <c r="F460" s="226">
        <v>500</v>
      </c>
      <c r="G460" s="17"/>
      <c r="H460" s="17">
        <f t="shared" si="362"/>
        <v>500</v>
      </c>
      <c r="I460" s="17"/>
      <c r="J460" s="17">
        <f t="shared" si="363"/>
        <v>500</v>
      </c>
      <c r="K460" s="17"/>
      <c r="L460" s="226">
        <v>500</v>
      </c>
      <c r="M460" s="335">
        <f t="shared" si="332"/>
        <v>0</v>
      </c>
      <c r="N460" s="329">
        <f t="shared" si="361"/>
        <v>0</v>
      </c>
    </row>
    <row r="461" spans="1:14" ht="14.1" customHeight="1">
      <c r="A461" s="32"/>
      <c r="B461" s="33">
        <v>5522</v>
      </c>
      <c r="C461" s="34" t="s">
        <v>262</v>
      </c>
      <c r="D461" s="52">
        <v>0</v>
      </c>
      <c r="E461" s="17">
        <v>0</v>
      </c>
      <c r="F461" s="226">
        <v>300</v>
      </c>
      <c r="G461" s="17"/>
      <c r="H461" s="17">
        <f t="shared" si="362"/>
        <v>300</v>
      </c>
      <c r="I461" s="17"/>
      <c r="J461" s="17">
        <f t="shared" si="363"/>
        <v>300</v>
      </c>
      <c r="K461" s="17"/>
      <c r="L461" s="226">
        <v>300</v>
      </c>
      <c r="M461" s="335">
        <f t="shared" si="332"/>
        <v>0</v>
      </c>
      <c r="N461" s="329">
        <f t="shared" si="361"/>
        <v>0</v>
      </c>
    </row>
    <row r="462" spans="1:14" ht="14.1" customHeight="1">
      <c r="A462" s="32"/>
      <c r="B462" s="33" t="s">
        <v>263</v>
      </c>
      <c r="C462" s="34" t="s">
        <v>264</v>
      </c>
      <c r="D462" s="52">
        <v>0</v>
      </c>
      <c r="E462" s="17">
        <v>0</v>
      </c>
      <c r="F462" s="226">
        <v>450</v>
      </c>
      <c r="G462" s="17"/>
      <c r="H462" s="17">
        <f t="shared" si="362"/>
        <v>450</v>
      </c>
      <c r="I462" s="17"/>
      <c r="J462" s="17">
        <f t="shared" si="363"/>
        <v>450</v>
      </c>
      <c r="K462" s="17"/>
      <c r="L462" s="226"/>
      <c r="M462" s="335">
        <f t="shared" si="332"/>
        <v>-1</v>
      </c>
      <c r="N462" s="329">
        <f t="shared" si="361"/>
        <v>-450</v>
      </c>
    </row>
    <row r="463" spans="1:14" ht="14.1" customHeight="1">
      <c r="A463" s="32"/>
      <c r="B463" s="33">
        <v>5532</v>
      </c>
      <c r="C463" s="34" t="s">
        <v>419</v>
      </c>
      <c r="D463" s="52"/>
      <c r="E463" s="17"/>
      <c r="F463" s="226"/>
      <c r="G463" s="17"/>
      <c r="H463" s="17"/>
      <c r="I463" s="17"/>
      <c r="J463" s="17"/>
      <c r="K463" s="17"/>
      <c r="L463" s="226">
        <v>250</v>
      </c>
      <c r="M463" s="335"/>
      <c r="N463" s="329">
        <f t="shared" si="361"/>
        <v>250</v>
      </c>
    </row>
    <row r="464" spans="1:14" ht="14.1" customHeight="1">
      <c r="A464" s="32"/>
      <c r="B464" s="33" t="s">
        <v>305</v>
      </c>
      <c r="C464" s="34" t="s">
        <v>348</v>
      </c>
      <c r="D464" s="52">
        <v>0</v>
      </c>
      <c r="E464" s="17">
        <v>0</v>
      </c>
      <c r="F464" s="226">
        <v>0</v>
      </c>
      <c r="G464" s="17"/>
      <c r="H464" s="17">
        <f t="shared" si="362"/>
        <v>0</v>
      </c>
      <c r="I464" s="17"/>
      <c r="J464" s="17">
        <f t="shared" si="363"/>
        <v>0</v>
      </c>
      <c r="K464" s="17"/>
      <c r="L464" s="226"/>
      <c r="M464" s="335" t="e">
        <f t="shared" si="332"/>
        <v>#DIV/0!</v>
      </c>
      <c r="N464" s="329">
        <f t="shared" si="361"/>
        <v>0</v>
      </c>
    </row>
    <row r="465" spans="1:14" ht="14.1" customHeight="1">
      <c r="A465" s="56" t="s">
        <v>420</v>
      </c>
      <c r="B465" s="46"/>
      <c r="C465" s="47" t="s">
        <v>421</v>
      </c>
      <c r="D465" s="103">
        <v>0</v>
      </c>
      <c r="E465" s="50">
        <v>0</v>
      </c>
      <c r="F465" s="50">
        <f t="shared" ref="F465" si="364">+F466+F467</f>
        <v>7000</v>
      </c>
      <c r="G465" s="50">
        <f t="shared" ref="G465:H465" si="365">+G466+G467</f>
        <v>0</v>
      </c>
      <c r="H465" s="50">
        <f t="shared" si="365"/>
        <v>7000</v>
      </c>
      <c r="I465" s="50">
        <f t="shared" ref="I465:J465" si="366">+I466+I467</f>
        <v>0</v>
      </c>
      <c r="J465" s="50">
        <f t="shared" si="366"/>
        <v>7000</v>
      </c>
      <c r="K465" s="50">
        <f t="shared" ref="K465:L465" si="367">+K466+K467</f>
        <v>209</v>
      </c>
      <c r="L465" s="50">
        <f t="shared" si="367"/>
        <v>41000</v>
      </c>
      <c r="M465" s="335">
        <f t="shared" si="332"/>
        <v>4.8571428571428568</v>
      </c>
      <c r="N465" s="329">
        <f t="shared" si="361"/>
        <v>34000</v>
      </c>
    </row>
    <row r="466" spans="1:14" ht="14.1" customHeight="1">
      <c r="A466" s="37"/>
      <c r="B466" s="38" t="s">
        <v>210</v>
      </c>
      <c r="C466" s="39" t="s">
        <v>211</v>
      </c>
      <c r="D466" s="52">
        <v>0</v>
      </c>
      <c r="E466" s="143">
        <v>0</v>
      </c>
      <c r="F466" s="143">
        <v>0</v>
      </c>
      <c r="G466" s="194"/>
      <c r="H466" s="143">
        <f t="shared" ref="H466" si="368">+G466+F466</f>
        <v>0</v>
      </c>
      <c r="I466" s="276"/>
      <c r="J466" s="143">
        <f t="shared" ref="J466" si="369">+I466+H466</f>
        <v>0</v>
      </c>
      <c r="K466" s="143"/>
      <c r="L466" s="152">
        <v>1500</v>
      </c>
      <c r="M466" s="335" t="e">
        <f t="shared" si="332"/>
        <v>#DIV/0!</v>
      </c>
      <c r="N466" s="329">
        <f t="shared" si="361"/>
        <v>1500</v>
      </c>
    </row>
    <row r="467" spans="1:14" ht="14.1" customHeight="1">
      <c r="A467" s="32"/>
      <c r="B467" s="38" t="s">
        <v>212</v>
      </c>
      <c r="C467" s="39" t="s">
        <v>213</v>
      </c>
      <c r="D467" s="52">
        <v>0</v>
      </c>
      <c r="E467" s="137">
        <v>0</v>
      </c>
      <c r="F467" s="137">
        <f>F468+F470</f>
        <v>7000</v>
      </c>
      <c r="G467" s="137">
        <f t="shared" ref="G467:H467" si="370">G468+G470</f>
        <v>0</v>
      </c>
      <c r="H467" s="137">
        <f t="shared" si="370"/>
        <v>7000</v>
      </c>
      <c r="I467" s="137">
        <f t="shared" ref="I467" si="371">I468+I470</f>
        <v>0</v>
      </c>
      <c r="J467" s="137">
        <f t="shared" ref="J467:K467" si="372">J468+J470+J469</f>
        <v>7000</v>
      </c>
      <c r="K467" s="137">
        <f t="shared" si="372"/>
        <v>209</v>
      </c>
      <c r="L467" s="137">
        <f>L468+L470+L469</f>
        <v>39500</v>
      </c>
      <c r="M467" s="335">
        <f t="shared" si="332"/>
        <v>4.6428571428571432</v>
      </c>
      <c r="N467" s="329">
        <f t="shared" si="361"/>
        <v>32500</v>
      </c>
    </row>
    <row r="468" spans="1:14" ht="14.1" customHeight="1">
      <c r="A468" s="32"/>
      <c r="B468" s="33">
        <v>5512</v>
      </c>
      <c r="C468" s="34" t="s">
        <v>417</v>
      </c>
      <c r="D468" s="52"/>
      <c r="E468" s="17"/>
      <c r="F468" s="224">
        <f>6000+1000</f>
        <v>7000</v>
      </c>
      <c r="G468" s="17"/>
      <c r="H468" s="17">
        <f t="shared" ref="H468:H470" si="373">+G468+F468</f>
        <v>7000</v>
      </c>
      <c r="I468" s="17"/>
      <c r="J468" s="17">
        <f t="shared" ref="J468:J470" si="374">+I468+H468</f>
        <v>7000</v>
      </c>
      <c r="K468" s="17">
        <v>209</v>
      </c>
      <c r="L468" s="226">
        <v>5000</v>
      </c>
      <c r="M468" s="335">
        <f t="shared" si="332"/>
        <v>-0.2857142857142857</v>
      </c>
      <c r="N468" s="329">
        <f t="shared" si="361"/>
        <v>-2000</v>
      </c>
    </row>
    <row r="469" spans="1:14" ht="14.1" customHeight="1">
      <c r="A469" s="32"/>
      <c r="B469" s="33" t="s">
        <v>256</v>
      </c>
      <c r="C469" s="34" t="s">
        <v>257</v>
      </c>
      <c r="D469" s="52"/>
      <c r="E469" s="95"/>
      <c r="F469" s="224"/>
      <c r="G469" s="17"/>
      <c r="H469" s="17"/>
      <c r="I469" s="17"/>
      <c r="J469" s="17"/>
      <c r="K469" s="17"/>
      <c r="L469" s="226">
        <f>500+34000</f>
        <v>34500</v>
      </c>
      <c r="M469" s="335"/>
      <c r="N469" s="329">
        <f t="shared" si="361"/>
        <v>34500</v>
      </c>
    </row>
    <row r="470" spans="1:14" ht="14.1" customHeight="1">
      <c r="A470" s="32"/>
      <c r="B470" s="33" t="s">
        <v>305</v>
      </c>
      <c r="C470" s="34" t="s">
        <v>348</v>
      </c>
      <c r="D470" s="52"/>
      <c r="E470" s="95"/>
      <c r="F470" s="224"/>
      <c r="G470" s="17"/>
      <c r="H470" s="17">
        <f t="shared" si="373"/>
        <v>0</v>
      </c>
      <c r="I470" s="17"/>
      <c r="J470" s="17">
        <f t="shared" si="374"/>
        <v>0</v>
      </c>
      <c r="K470" s="17"/>
      <c r="L470" s="226"/>
      <c r="M470" s="335" t="e">
        <f t="shared" si="332"/>
        <v>#DIV/0!</v>
      </c>
      <c r="N470" s="329">
        <f t="shared" si="361"/>
        <v>0</v>
      </c>
    </row>
    <row r="471" spans="1:14" ht="14.1" customHeight="1">
      <c r="A471" s="45" t="s">
        <v>422</v>
      </c>
      <c r="B471" s="46"/>
      <c r="C471" s="47" t="s">
        <v>423</v>
      </c>
      <c r="D471" s="53">
        <v>295200</v>
      </c>
      <c r="E471" s="50">
        <v>347735</v>
      </c>
      <c r="F471" s="50">
        <f>+F472+F473</f>
        <v>426220</v>
      </c>
      <c r="G471" s="50">
        <f t="shared" ref="G471:H471" si="375">+G472+G473</f>
        <v>6700</v>
      </c>
      <c r="H471" s="50">
        <f t="shared" si="375"/>
        <v>432920</v>
      </c>
      <c r="I471" s="50">
        <f t="shared" ref="I471:J471" si="376">+I472+I473</f>
        <v>-500</v>
      </c>
      <c r="J471" s="50">
        <f t="shared" si="376"/>
        <v>432420</v>
      </c>
      <c r="K471" s="50">
        <f t="shared" ref="K471" si="377">+K472+K473</f>
        <v>325415.07</v>
      </c>
      <c r="L471" s="50">
        <f>+L472+L473</f>
        <v>468700</v>
      </c>
      <c r="M471" s="335">
        <f t="shared" si="332"/>
        <v>8.3899912122473524E-2</v>
      </c>
      <c r="N471" s="329">
        <f t="shared" si="361"/>
        <v>36280</v>
      </c>
    </row>
    <row r="472" spans="1:14" ht="14.1" customHeight="1">
      <c r="A472" s="32"/>
      <c r="B472" s="38" t="s">
        <v>210</v>
      </c>
      <c r="C472" s="39" t="s">
        <v>211</v>
      </c>
      <c r="D472" s="52">
        <v>254835</v>
      </c>
      <c r="E472" s="143">
        <v>299485</v>
      </c>
      <c r="F472" s="224">
        <v>376100</v>
      </c>
      <c r="G472" s="196">
        <v>3900</v>
      </c>
      <c r="H472" s="143">
        <f t="shared" ref="H472" si="378">+G472+F472</f>
        <v>380000</v>
      </c>
      <c r="I472" s="275"/>
      <c r="J472" s="143">
        <f t="shared" ref="J472" si="379">+I472+H472</f>
        <v>380000</v>
      </c>
      <c r="K472" s="143">
        <v>285938</v>
      </c>
      <c r="L472" s="152">
        <v>406100</v>
      </c>
      <c r="M472" s="335">
        <f t="shared" si="332"/>
        <v>6.8684210526315792E-2</v>
      </c>
      <c r="N472" s="329">
        <f t="shared" si="361"/>
        <v>26100</v>
      </c>
    </row>
    <row r="473" spans="1:14" ht="14.1" customHeight="1">
      <c r="A473" s="32"/>
      <c r="B473" s="38" t="s">
        <v>212</v>
      </c>
      <c r="C473" s="39" t="s">
        <v>213</v>
      </c>
      <c r="D473" s="52">
        <v>40365</v>
      </c>
      <c r="E473" s="138">
        <v>48250</v>
      </c>
      <c r="F473" s="137">
        <f>SUM(+F474+F475+F476+F477+F480+F481+F482+F484+F485+F486+F487+F483)</f>
        <v>50120</v>
      </c>
      <c r="G473" s="137">
        <f t="shared" ref="G473:H473" si="380">SUM(+G474+G475+G476+G477+G480+G481+G482+G484+G485+G486+G487+G483)</f>
        <v>2800</v>
      </c>
      <c r="H473" s="137">
        <f t="shared" si="380"/>
        <v>52920</v>
      </c>
      <c r="I473" s="137">
        <f t="shared" ref="I473:K473" si="381">SUM(+I474+I475+I476+I477+I480+I481+I482+I484+I485+I486+I487+I483)</f>
        <v>-500</v>
      </c>
      <c r="J473" s="137">
        <f t="shared" si="381"/>
        <v>52420</v>
      </c>
      <c r="K473" s="137">
        <f t="shared" si="381"/>
        <v>39477.07</v>
      </c>
      <c r="L473" s="137">
        <f>SUM(+L474+L475+L476+L477+L480+L481+L482+L484+L485+L486+L487+L483)</f>
        <v>62600</v>
      </c>
      <c r="M473" s="335">
        <f t="shared" si="332"/>
        <v>0.19420068676077834</v>
      </c>
      <c r="N473" s="329">
        <f t="shared" si="361"/>
        <v>10180</v>
      </c>
    </row>
    <row r="474" spans="1:14" ht="14.1" customHeight="1">
      <c r="A474" s="32"/>
      <c r="B474" s="33" t="s">
        <v>214</v>
      </c>
      <c r="C474" s="34" t="s">
        <v>227</v>
      </c>
      <c r="D474" s="52">
        <v>700</v>
      </c>
      <c r="E474" s="17">
        <v>1450</v>
      </c>
      <c r="F474" s="226">
        <v>1320</v>
      </c>
      <c r="G474" s="17"/>
      <c r="H474" s="17">
        <f t="shared" ref="H474:H487" si="382">+G474+F474</f>
        <v>1320</v>
      </c>
      <c r="I474" s="17">
        <v>-500</v>
      </c>
      <c r="J474" s="17">
        <f t="shared" ref="J474:J476" si="383">+I474+H474</f>
        <v>820</v>
      </c>
      <c r="K474" s="17">
        <v>791</v>
      </c>
      <c r="L474" s="226">
        <v>800</v>
      </c>
      <c r="M474" s="335">
        <f t="shared" si="332"/>
        <v>-2.4390243902439025E-2</v>
      </c>
      <c r="N474" s="329">
        <f t="shared" si="361"/>
        <v>-20</v>
      </c>
    </row>
    <row r="475" spans="1:14" ht="14.1" customHeight="1">
      <c r="A475" s="32"/>
      <c r="B475" s="33">
        <v>5503</v>
      </c>
      <c r="C475" s="34" t="s">
        <v>216</v>
      </c>
      <c r="D475" s="52">
        <v>2000</v>
      </c>
      <c r="E475" s="17">
        <v>405</v>
      </c>
      <c r="F475" s="226">
        <v>1200</v>
      </c>
      <c r="G475" s="17"/>
      <c r="H475" s="17">
        <f t="shared" si="382"/>
        <v>1200</v>
      </c>
      <c r="I475" s="17"/>
      <c r="J475" s="17">
        <f t="shared" si="383"/>
        <v>1200</v>
      </c>
      <c r="K475" s="17">
        <v>240</v>
      </c>
      <c r="L475" s="226"/>
      <c r="M475" s="335">
        <f t="shared" si="332"/>
        <v>-1</v>
      </c>
      <c r="N475" s="329">
        <f t="shared" si="361"/>
        <v>-1200</v>
      </c>
    </row>
    <row r="476" spans="1:14" ht="14.1" customHeight="1">
      <c r="A476" s="32"/>
      <c r="B476" s="33" t="s">
        <v>217</v>
      </c>
      <c r="C476" s="34" t="s">
        <v>230</v>
      </c>
      <c r="D476" s="52">
        <v>1900</v>
      </c>
      <c r="E476" s="17">
        <v>1200</v>
      </c>
      <c r="F476" s="226">
        <v>1200</v>
      </c>
      <c r="G476" s="17"/>
      <c r="H476" s="17">
        <f t="shared" si="382"/>
        <v>1200</v>
      </c>
      <c r="I476" s="17"/>
      <c r="J476" s="17">
        <f t="shared" si="383"/>
        <v>1200</v>
      </c>
      <c r="K476" s="17">
        <v>978</v>
      </c>
      <c r="L476" s="226">
        <v>2700</v>
      </c>
      <c r="M476" s="335">
        <f t="shared" si="332"/>
        <v>1.25</v>
      </c>
      <c r="N476" s="329">
        <f t="shared" si="361"/>
        <v>1500</v>
      </c>
    </row>
    <row r="477" spans="1:14" ht="14.1" customHeight="1">
      <c r="A477" s="32"/>
      <c r="B477" s="33">
        <v>5511</v>
      </c>
      <c r="C477" s="34" t="s">
        <v>404</v>
      </c>
      <c r="D477" s="52"/>
      <c r="E477" s="17"/>
      <c r="F477" s="226">
        <f>F479</f>
        <v>3200</v>
      </c>
      <c r="G477" s="17">
        <f t="shared" ref="G477:I477" si="384">G479</f>
        <v>800</v>
      </c>
      <c r="H477" s="17">
        <f t="shared" si="384"/>
        <v>4000</v>
      </c>
      <c r="I477" s="17">
        <f t="shared" si="384"/>
        <v>0</v>
      </c>
      <c r="J477" s="17">
        <f>J479+J478</f>
        <v>4000</v>
      </c>
      <c r="K477" s="17">
        <f t="shared" ref="K477:L477" si="385">K479+K478</f>
        <v>1786</v>
      </c>
      <c r="L477" s="17">
        <f t="shared" si="385"/>
        <v>4500</v>
      </c>
      <c r="M477" s="335">
        <f t="shared" ref="M477:M542" si="386">(L477-J477)/J477</f>
        <v>0.125</v>
      </c>
      <c r="N477" s="329">
        <f t="shared" si="361"/>
        <v>500</v>
      </c>
    </row>
    <row r="478" spans="1:14" ht="14.1" customHeight="1">
      <c r="A478" s="32"/>
      <c r="B478" s="33"/>
      <c r="C478" s="146" t="s">
        <v>410</v>
      </c>
      <c r="D478" s="52"/>
      <c r="E478" s="17"/>
      <c r="F478" s="226"/>
      <c r="G478" s="17"/>
      <c r="H478" s="17"/>
      <c r="I478" s="17"/>
      <c r="J478" s="17"/>
      <c r="K478" s="17">
        <v>166</v>
      </c>
      <c r="L478" s="226"/>
      <c r="M478" s="335"/>
      <c r="N478" s="329">
        <f t="shared" si="361"/>
        <v>0</v>
      </c>
    </row>
    <row r="479" spans="1:14" ht="14.1" customHeight="1">
      <c r="A479" s="32"/>
      <c r="B479" s="33"/>
      <c r="C479" s="146" t="s">
        <v>413</v>
      </c>
      <c r="D479" s="52"/>
      <c r="E479" s="17"/>
      <c r="F479" s="229">
        <v>3200</v>
      </c>
      <c r="G479" s="147">
        <v>800</v>
      </c>
      <c r="H479" s="147">
        <f t="shared" si="382"/>
        <v>4000</v>
      </c>
      <c r="I479" s="147"/>
      <c r="J479" s="147">
        <f t="shared" ref="J479:J487" si="387">+I479+H479</f>
        <v>4000</v>
      </c>
      <c r="K479" s="147">
        <v>1620</v>
      </c>
      <c r="L479" s="229">
        <v>4500</v>
      </c>
      <c r="M479" s="335">
        <f t="shared" si="386"/>
        <v>0.125</v>
      </c>
      <c r="N479" s="329">
        <f t="shared" si="361"/>
        <v>500</v>
      </c>
    </row>
    <row r="480" spans="1:14" ht="14.1" customHeight="1">
      <c r="A480" s="32"/>
      <c r="B480" s="33" t="s">
        <v>253</v>
      </c>
      <c r="C480" s="34" t="s">
        <v>254</v>
      </c>
      <c r="D480" s="52">
        <v>12000</v>
      </c>
      <c r="E480" s="17">
        <v>14000</v>
      </c>
      <c r="F480" s="226">
        <v>14400</v>
      </c>
      <c r="G480" s="17">
        <v>600</v>
      </c>
      <c r="H480" s="17">
        <f t="shared" si="382"/>
        <v>15000</v>
      </c>
      <c r="I480" s="17"/>
      <c r="J480" s="17">
        <f t="shared" si="387"/>
        <v>15000</v>
      </c>
      <c r="K480" s="17">
        <v>10807</v>
      </c>
      <c r="L480" s="226">
        <f>17500+3500</f>
        <v>21000</v>
      </c>
      <c r="M480" s="335">
        <f t="shared" si="386"/>
        <v>0.4</v>
      </c>
      <c r="N480" s="329">
        <f t="shared" si="361"/>
        <v>6000</v>
      </c>
    </row>
    <row r="481" spans="1:14" ht="14.1" customHeight="1">
      <c r="A481" s="32"/>
      <c r="B481" s="33" t="s">
        <v>255</v>
      </c>
      <c r="C481" s="34" t="s">
        <v>221</v>
      </c>
      <c r="D481" s="52">
        <v>700</v>
      </c>
      <c r="E481" s="17">
        <v>1200</v>
      </c>
      <c r="F481" s="226">
        <v>1000</v>
      </c>
      <c r="G481" s="17">
        <v>400</v>
      </c>
      <c r="H481" s="17">
        <f t="shared" si="382"/>
        <v>1400</v>
      </c>
      <c r="I481" s="17"/>
      <c r="J481" s="17">
        <f t="shared" si="387"/>
        <v>1400</v>
      </c>
      <c r="K481" s="17">
        <v>175</v>
      </c>
      <c r="L481" s="226">
        <v>1400</v>
      </c>
      <c r="M481" s="335">
        <f t="shared" si="386"/>
        <v>0</v>
      </c>
      <c r="N481" s="329">
        <f t="shared" si="361"/>
        <v>0</v>
      </c>
    </row>
    <row r="482" spans="1:14" ht="14.1" customHeight="1">
      <c r="A482" s="32"/>
      <c r="B482" s="33" t="s">
        <v>256</v>
      </c>
      <c r="C482" s="34" t="s">
        <v>257</v>
      </c>
      <c r="D482" s="52">
        <v>12000</v>
      </c>
      <c r="E482" s="17">
        <v>5793</v>
      </c>
      <c r="F482" s="226">
        <v>4500</v>
      </c>
      <c r="G482" s="17">
        <v>-2000</v>
      </c>
      <c r="H482" s="17">
        <f t="shared" si="382"/>
        <v>2500</v>
      </c>
      <c r="I482" s="17"/>
      <c r="J482" s="17">
        <f t="shared" si="387"/>
        <v>2500</v>
      </c>
      <c r="K482" s="17">
        <v>2164</v>
      </c>
      <c r="L482" s="226">
        <v>2500</v>
      </c>
      <c r="M482" s="335">
        <f t="shared" si="386"/>
        <v>0</v>
      </c>
      <c r="N482" s="329">
        <f t="shared" si="361"/>
        <v>0</v>
      </c>
    </row>
    <row r="483" spans="1:14" ht="14.1" customHeight="1">
      <c r="A483" s="32"/>
      <c r="B483" s="33">
        <v>5521</v>
      </c>
      <c r="C483" s="34" t="s">
        <v>418</v>
      </c>
      <c r="D483" s="52"/>
      <c r="E483" s="17">
        <v>102</v>
      </c>
      <c r="F483" s="226">
        <v>0</v>
      </c>
      <c r="G483" s="17"/>
      <c r="H483" s="17">
        <f t="shared" si="382"/>
        <v>0</v>
      </c>
      <c r="I483" s="17"/>
      <c r="J483" s="17">
        <f t="shared" si="387"/>
        <v>0</v>
      </c>
      <c r="K483" s="17"/>
      <c r="L483" s="226"/>
      <c r="M483" s="335" t="e">
        <f t="shared" si="386"/>
        <v>#DIV/0!</v>
      </c>
      <c r="N483" s="329">
        <f t="shared" si="361"/>
        <v>0</v>
      </c>
    </row>
    <row r="484" spans="1:14" ht="14.1" customHeight="1">
      <c r="A484" s="32"/>
      <c r="B484" s="33">
        <v>5522</v>
      </c>
      <c r="C484" s="34" t="s">
        <v>262</v>
      </c>
      <c r="D484" s="52">
        <v>0</v>
      </c>
      <c r="E484" s="17">
        <v>400</v>
      </c>
      <c r="F484" s="226">
        <v>300</v>
      </c>
      <c r="G484" s="17"/>
      <c r="H484" s="17">
        <f t="shared" si="382"/>
        <v>300</v>
      </c>
      <c r="I484" s="17"/>
      <c r="J484" s="17">
        <f t="shared" si="387"/>
        <v>300</v>
      </c>
      <c r="K484" s="17">
        <v>388</v>
      </c>
      <c r="L484" s="226">
        <v>3000</v>
      </c>
      <c r="M484" s="335">
        <f t="shared" si="386"/>
        <v>9</v>
      </c>
      <c r="N484" s="329">
        <f t="shared" si="361"/>
        <v>2700</v>
      </c>
    </row>
    <row r="485" spans="1:14" ht="14.1" customHeight="1">
      <c r="A485" s="32"/>
      <c r="B485" s="33" t="s">
        <v>263</v>
      </c>
      <c r="C485" s="34" t="s">
        <v>264</v>
      </c>
      <c r="D485" s="52">
        <v>3000</v>
      </c>
      <c r="E485" s="17">
        <v>5700</v>
      </c>
      <c r="F485" s="226">
        <v>7000</v>
      </c>
      <c r="G485" s="17"/>
      <c r="H485" s="17">
        <f t="shared" si="382"/>
        <v>7000</v>
      </c>
      <c r="I485" s="17"/>
      <c r="J485" s="17">
        <f t="shared" si="387"/>
        <v>7000</v>
      </c>
      <c r="K485" s="17">
        <v>1015</v>
      </c>
      <c r="L485" s="226">
        <v>7000</v>
      </c>
      <c r="M485" s="335">
        <f t="shared" si="386"/>
        <v>0</v>
      </c>
      <c r="N485" s="329">
        <f t="shared" si="361"/>
        <v>0</v>
      </c>
    </row>
    <row r="486" spans="1:14" ht="14.1" customHeight="1">
      <c r="A486" s="32"/>
      <c r="B486" s="33">
        <v>5532</v>
      </c>
      <c r="C486" s="34" t="s">
        <v>419</v>
      </c>
      <c r="D486" s="52"/>
      <c r="E486" s="17">
        <v>0</v>
      </c>
      <c r="F486" s="226">
        <v>1000</v>
      </c>
      <c r="G486" s="17"/>
      <c r="H486" s="17">
        <f t="shared" si="382"/>
        <v>1000</v>
      </c>
      <c r="I486" s="17"/>
      <c r="J486" s="17">
        <f t="shared" si="387"/>
        <v>1000</v>
      </c>
      <c r="K486" s="17">
        <v>215.07</v>
      </c>
      <c r="L486" s="226">
        <v>1700</v>
      </c>
      <c r="M486" s="335">
        <f t="shared" si="386"/>
        <v>0.7</v>
      </c>
      <c r="N486" s="329">
        <f t="shared" si="361"/>
        <v>700</v>
      </c>
    </row>
    <row r="487" spans="1:14" ht="14.1" customHeight="1">
      <c r="A487" s="32"/>
      <c r="B487" s="33" t="s">
        <v>305</v>
      </c>
      <c r="C487" s="34" t="s">
        <v>348</v>
      </c>
      <c r="D487" s="52">
        <v>8065</v>
      </c>
      <c r="E487" s="17">
        <v>18000</v>
      </c>
      <c r="F487" s="226">
        <v>15000</v>
      </c>
      <c r="G487" s="17">
        <v>3000</v>
      </c>
      <c r="H487" s="17">
        <f t="shared" si="382"/>
        <v>18000</v>
      </c>
      <c r="I487" s="17"/>
      <c r="J487" s="17">
        <f t="shared" si="387"/>
        <v>18000</v>
      </c>
      <c r="K487" s="17">
        <v>20918</v>
      </c>
      <c r="L487" s="226">
        <v>18000</v>
      </c>
      <c r="M487" s="335">
        <f t="shared" si="386"/>
        <v>0</v>
      </c>
      <c r="N487" s="329">
        <f t="shared" si="361"/>
        <v>0</v>
      </c>
    </row>
    <row r="488" spans="1:14" ht="14.1" customHeight="1">
      <c r="A488" s="56" t="s">
        <v>424</v>
      </c>
      <c r="B488" s="46"/>
      <c r="C488" s="47" t="s">
        <v>425</v>
      </c>
      <c r="D488" s="53">
        <v>110670</v>
      </c>
      <c r="E488" s="50">
        <v>55650</v>
      </c>
      <c r="F488" s="50">
        <f t="shared" ref="F488:L488" si="388">+F489</f>
        <v>93000</v>
      </c>
      <c r="G488" s="50">
        <f t="shared" si="388"/>
        <v>0</v>
      </c>
      <c r="H488" s="50">
        <f t="shared" si="388"/>
        <v>93000</v>
      </c>
      <c r="I488" s="50">
        <f t="shared" si="388"/>
        <v>300</v>
      </c>
      <c r="J488" s="50">
        <f t="shared" si="388"/>
        <v>93300</v>
      </c>
      <c r="K488" s="50">
        <f t="shared" si="388"/>
        <v>44530</v>
      </c>
      <c r="L488" s="50">
        <f t="shared" si="388"/>
        <v>93000</v>
      </c>
      <c r="M488" s="335">
        <f t="shared" si="386"/>
        <v>-3.2154340836012861E-3</v>
      </c>
      <c r="N488" s="329">
        <f t="shared" si="361"/>
        <v>-300</v>
      </c>
    </row>
    <row r="489" spans="1:14" ht="14.1" customHeight="1">
      <c r="A489" s="117"/>
      <c r="B489" s="38">
        <v>45</v>
      </c>
      <c r="C489" s="39" t="s">
        <v>426</v>
      </c>
      <c r="D489" s="117"/>
      <c r="E489" s="201">
        <v>55650</v>
      </c>
      <c r="F489" s="140">
        <v>93000</v>
      </c>
      <c r="G489" s="201"/>
      <c r="H489" s="201">
        <f>+F489+G489</f>
        <v>93000</v>
      </c>
      <c r="I489" s="283">
        <v>300</v>
      </c>
      <c r="J489" s="201">
        <f>+H489+I489</f>
        <v>93300</v>
      </c>
      <c r="K489" s="201">
        <v>44530</v>
      </c>
      <c r="L489" s="140">
        <v>93000</v>
      </c>
      <c r="M489" s="335">
        <f t="shared" si="386"/>
        <v>-3.2154340836012861E-3</v>
      </c>
      <c r="N489" s="329">
        <f t="shared" si="361"/>
        <v>-300</v>
      </c>
    </row>
    <row r="490" spans="1:14" ht="14.1" customHeight="1">
      <c r="A490" s="56" t="s">
        <v>427</v>
      </c>
      <c r="B490" s="46"/>
      <c r="C490" s="47" t="s">
        <v>428</v>
      </c>
      <c r="D490" s="53">
        <v>41490</v>
      </c>
      <c r="E490" s="50">
        <v>49260</v>
      </c>
      <c r="F490" s="50">
        <f t="shared" ref="F490:K490" si="389">F491+F492</f>
        <v>62864</v>
      </c>
      <c r="G490" s="50">
        <f t="shared" si="389"/>
        <v>0</v>
      </c>
      <c r="H490" s="50">
        <f t="shared" si="389"/>
        <v>62864</v>
      </c>
      <c r="I490" s="50">
        <f t="shared" si="389"/>
        <v>-500</v>
      </c>
      <c r="J490" s="50">
        <f t="shared" si="389"/>
        <v>62364</v>
      </c>
      <c r="K490" s="50">
        <f t="shared" si="389"/>
        <v>37425</v>
      </c>
      <c r="L490" s="50">
        <f t="shared" ref="L490" si="390">L491+L492</f>
        <v>66000</v>
      </c>
      <c r="M490" s="335">
        <f t="shared" si="386"/>
        <v>5.8302867038676161E-2</v>
      </c>
      <c r="N490" s="329">
        <f t="shared" si="361"/>
        <v>3636</v>
      </c>
    </row>
    <row r="491" spans="1:14" ht="14.1" customHeight="1">
      <c r="A491" s="67"/>
      <c r="B491" s="60">
        <v>50</v>
      </c>
      <c r="C491" s="61" t="s">
        <v>211</v>
      </c>
      <c r="D491" s="52">
        <v>20875</v>
      </c>
      <c r="E491" s="197">
        <v>23586</v>
      </c>
      <c r="F491" s="226">
        <v>29100</v>
      </c>
      <c r="G491" s="197"/>
      <c r="H491" s="197">
        <f>+F491+G491</f>
        <v>29100</v>
      </c>
      <c r="I491" s="197"/>
      <c r="J491" s="197">
        <f>+H491+I491</f>
        <v>29100</v>
      </c>
      <c r="K491" s="197">
        <v>23207</v>
      </c>
      <c r="L491" s="225">
        <v>32700</v>
      </c>
      <c r="M491" s="335">
        <f t="shared" si="386"/>
        <v>0.12371134020618557</v>
      </c>
      <c r="N491" s="329">
        <f t="shared" si="361"/>
        <v>3600</v>
      </c>
    </row>
    <row r="492" spans="1:14" ht="14.1" customHeight="1">
      <c r="A492" s="67"/>
      <c r="B492" s="60">
        <v>55</v>
      </c>
      <c r="C492" s="61" t="s">
        <v>213</v>
      </c>
      <c r="D492" s="52">
        <v>20615</v>
      </c>
      <c r="E492" s="138">
        <v>25674</v>
      </c>
      <c r="F492" s="137">
        <f>+F493+F507+F508+F509+F511+F512+F513+F496+F494+F495+F506+F510+F514</f>
        <v>33764</v>
      </c>
      <c r="G492" s="137">
        <f t="shared" ref="G492:H492" si="391">+G493+G507+G508+G509+G511+G512+G513+G496+G494+G495+G506+G510+G514</f>
        <v>0</v>
      </c>
      <c r="H492" s="137">
        <f t="shared" si="391"/>
        <v>33764</v>
      </c>
      <c r="I492" s="137">
        <f t="shared" ref="I492:K492" si="392">+I493+I507+I508+I509+I511+I512+I513+I496+I494+I495+I506+I510+I514</f>
        <v>-500</v>
      </c>
      <c r="J492" s="137">
        <f t="shared" si="392"/>
        <v>33264</v>
      </c>
      <c r="K492" s="137">
        <f t="shared" si="392"/>
        <v>14218</v>
      </c>
      <c r="L492" s="137">
        <f>+L493+L507+L508+L509+L511+L512+L513+L496+L494+L495+L506+L510+L514</f>
        <v>33300</v>
      </c>
      <c r="M492" s="335">
        <f t="shared" si="386"/>
        <v>1.0822510822510823E-3</v>
      </c>
      <c r="N492" s="329">
        <f t="shared" si="361"/>
        <v>36</v>
      </c>
    </row>
    <row r="493" spans="1:14" ht="14.1" customHeight="1">
      <c r="A493" s="67"/>
      <c r="B493" s="64">
        <v>5500</v>
      </c>
      <c r="C493" s="40" t="s">
        <v>429</v>
      </c>
      <c r="D493" s="52">
        <v>150</v>
      </c>
      <c r="E493" s="95">
        <v>0</v>
      </c>
      <c r="F493" s="226">
        <v>100</v>
      </c>
      <c r="G493" s="17"/>
      <c r="H493" s="95">
        <f t="shared" ref="H493:H495" si="393">+G493+F493</f>
        <v>100</v>
      </c>
      <c r="I493" s="17"/>
      <c r="J493" s="95">
        <f t="shared" ref="J493:J495" si="394">+I493+H493</f>
        <v>100</v>
      </c>
      <c r="K493" s="17">
        <v>73</v>
      </c>
      <c r="L493" s="226">
        <v>100</v>
      </c>
      <c r="M493" s="335">
        <f t="shared" si="386"/>
        <v>0</v>
      </c>
      <c r="N493" s="329">
        <f t="shared" si="361"/>
        <v>0</v>
      </c>
    </row>
    <row r="494" spans="1:14" ht="14.1" customHeight="1">
      <c r="A494" s="67"/>
      <c r="B494" s="33">
        <v>5503</v>
      </c>
      <c r="C494" s="34" t="s">
        <v>216</v>
      </c>
      <c r="D494" s="52"/>
      <c r="E494" s="95"/>
      <c r="F494" s="226">
        <v>150</v>
      </c>
      <c r="G494" s="17"/>
      <c r="H494" s="95">
        <f t="shared" si="393"/>
        <v>150</v>
      </c>
      <c r="I494" s="17"/>
      <c r="J494" s="95">
        <f t="shared" si="394"/>
        <v>150</v>
      </c>
      <c r="K494" s="17"/>
      <c r="L494" s="226"/>
      <c r="M494" s="335">
        <f t="shared" si="386"/>
        <v>-1</v>
      </c>
      <c r="N494" s="329">
        <f t="shared" si="361"/>
        <v>-150</v>
      </c>
    </row>
    <row r="495" spans="1:14" ht="14.1" customHeight="1">
      <c r="A495" s="67"/>
      <c r="B495" s="33" t="s">
        <v>217</v>
      </c>
      <c r="C495" s="34" t="s">
        <v>230</v>
      </c>
      <c r="D495" s="52"/>
      <c r="E495" s="95"/>
      <c r="F495" s="226">
        <v>150</v>
      </c>
      <c r="G495" s="17"/>
      <c r="H495" s="95">
        <f t="shared" si="393"/>
        <v>150</v>
      </c>
      <c r="I495" s="17"/>
      <c r="J495" s="95">
        <f t="shared" si="394"/>
        <v>150</v>
      </c>
      <c r="K495" s="17"/>
      <c r="L495" s="226">
        <v>200</v>
      </c>
      <c r="M495" s="335">
        <f t="shared" si="386"/>
        <v>0.33333333333333331</v>
      </c>
      <c r="N495" s="329">
        <f t="shared" si="361"/>
        <v>50</v>
      </c>
    </row>
    <row r="496" spans="1:14" ht="14.1" customHeight="1">
      <c r="A496" s="67"/>
      <c r="B496" s="64">
        <v>5511</v>
      </c>
      <c r="C496" s="34" t="s">
        <v>219</v>
      </c>
      <c r="D496" s="52">
        <v>18900</v>
      </c>
      <c r="E496" s="95">
        <v>20500</v>
      </c>
      <c r="F496" s="226">
        <f>SUM(F497:F505)</f>
        <v>25844</v>
      </c>
      <c r="G496" s="95">
        <f t="shared" ref="G496:H496" si="395">SUM(G497:G505)</f>
        <v>0</v>
      </c>
      <c r="H496" s="95">
        <f t="shared" si="395"/>
        <v>25844</v>
      </c>
      <c r="I496" s="95">
        <f t="shared" ref="I496:K496" si="396">SUM(I497:I505)</f>
        <v>0</v>
      </c>
      <c r="J496" s="95">
        <f t="shared" si="396"/>
        <v>25844</v>
      </c>
      <c r="K496" s="95">
        <f t="shared" si="396"/>
        <v>13973</v>
      </c>
      <c r="L496" s="226">
        <f>SUM(L497:L505)</f>
        <v>24300</v>
      </c>
      <c r="M496" s="335">
        <f t="shared" si="386"/>
        <v>-5.9743073827580873E-2</v>
      </c>
      <c r="N496" s="329">
        <f t="shared" si="361"/>
        <v>-1544</v>
      </c>
    </row>
    <row r="497" spans="1:14" s="150" customFormat="1" ht="14.1" customHeight="1">
      <c r="A497" s="164"/>
      <c r="B497" s="162"/>
      <c r="C497" s="146" t="s">
        <v>408</v>
      </c>
      <c r="D497" s="146">
        <v>12500</v>
      </c>
      <c r="E497" s="149">
        <v>12000</v>
      </c>
      <c r="F497" s="229">
        <v>18000</v>
      </c>
      <c r="G497" s="147"/>
      <c r="H497" s="149">
        <f>+F497+G497</f>
        <v>18000</v>
      </c>
      <c r="I497" s="147"/>
      <c r="J497" s="149">
        <f>+H497+I497</f>
        <v>18000</v>
      </c>
      <c r="K497" s="147">
        <v>9066</v>
      </c>
      <c r="L497" s="229">
        <v>19000</v>
      </c>
      <c r="M497" s="335">
        <f t="shared" si="386"/>
        <v>5.5555555555555552E-2</v>
      </c>
      <c r="N497" s="329">
        <f t="shared" si="361"/>
        <v>1000</v>
      </c>
    </row>
    <row r="498" spans="1:14" s="150" customFormat="1" ht="14.1" customHeight="1">
      <c r="A498" s="164"/>
      <c r="B498" s="162"/>
      <c r="C498" s="146" t="s">
        <v>409</v>
      </c>
      <c r="D498" s="146">
        <v>500</v>
      </c>
      <c r="E498" s="149">
        <v>650</v>
      </c>
      <c r="F498" s="229">
        <v>500</v>
      </c>
      <c r="G498" s="147"/>
      <c r="H498" s="149">
        <f t="shared" ref="H498:H505" si="397">+F498+G498</f>
        <v>500</v>
      </c>
      <c r="I498" s="147"/>
      <c r="J498" s="149">
        <f t="shared" ref="J498:J505" si="398">+H498+I498</f>
        <v>500</v>
      </c>
      <c r="K498" s="147">
        <v>348</v>
      </c>
      <c r="L498" s="229">
        <v>160</v>
      </c>
      <c r="M498" s="335">
        <f t="shared" si="386"/>
        <v>-0.68</v>
      </c>
      <c r="N498" s="329">
        <f t="shared" si="361"/>
        <v>-340</v>
      </c>
    </row>
    <row r="499" spans="1:14" s="150" customFormat="1" ht="14.1" customHeight="1">
      <c r="A499" s="164"/>
      <c r="B499" s="162"/>
      <c r="C499" s="146" t="s">
        <v>410</v>
      </c>
      <c r="D499" s="146">
        <v>3150</v>
      </c>
      <c r="E499" s="149">
        <v>3000</v>
      </c>
      <c r="F499" s="229">
        <v>1000</v>
      </c>
      <c r="G499" s="147"/>
      <c r="H499" s="149">
        <f t="shared" si="397"/>
        <v>1000</v>
      </c>
      <c r="I499" s="147"/>
      <c r="J499" s="149">
        <f t="shared" si="398"/>
        <v>1000</v>
      </c>
      <c r="K499" s="147">
        <v>657</v>
      </c>
      <c r="L499" s="229">
        <v>500</v>
      </c>
      <c r="M499" s="335">
        <f t="shared" si="386"/>
        <v>-0.5</v>
      </c>
      <c r="N499" s="329">
        <f t="shared" si="361"/>
        <v>-500</v>
      </c>
    </row>
    <row r="500" spans="1:14" s="150" customFormat="1" ht="14.1" customHeight="1">
      <c r="A500" s="164"/>
      <c r="B500" s="162"/>
      <c r="C500" s="146" t="s">
        <v>411</v>
      </c>
      <c r="D500" s="146">
        <v>500</v>
      </c>
      <c r="E500" s="149">
        <v>550</v>
      </c>
      <c r="F500" s="229">
        <v>250</v>
      </c>
      <c r="G500" s="147"/>
      <c r="H500" s="149">
        <f t="shared" si="397"/>
        <v>250</v>
      </c>
      <c r="I500" s="147"/>
      <c r="J500" s="149">
        <f t="shared" si="398"/>
        <v>250</v>
      </c>
      <c r="K500" s="147">
        <v>204</v>
      </c>
      <c r="L500" s="229">
        <v>300</v>
      </c>
      <c r="M500" s="335">
        <f t="shared" si="386"/>
        <v>0.2</v>
      </c>
      <c r="N500" s="329">
        <f t="shared" si="361"/>
        <v>50</v>
      </c>
    </row>
    <row r="501" spans="1:14" s="150" customFormat="1" ht="14.1" customHeight="1">
      <c r="A501" s="164"/>
      <c r="B501" s="162"/>
      <c r="C501" s="146" t="s">
        <v>412</v>
      </c>
      <c r="D501" s="146">
        <v>350</v>
      </c>
      <c r="E501" s="149">
        <v>350</v>
      </c>
      <c r="F501" s="229">
        <v>340</v>
      </c>
      <c r="G501" s="147"/>
      <c r="H501" s="149">
        <f t="shared" si="397"/>
        <v>340</v>
      </c>
      <c r="I501" s="147"/>
      <c r="J501" s="149">
        <f t="shared" si="398"/>
        <v>340</v>
      </c>
      <c r="K501" s="147">
        <v>216</v>
      </c>
      <c r="L501" s="229">
        <v>400</v>
      </c>
      <c r="M501" s="335">
        <f t="shared" si="386"/>
        <v>0.17647058823529413</v>
      </c>
      <c r="N501" s="329">
        <f t="shared" si="361"/>
        <v>60</v>
      </c>
    </row>
    <row r="502" spans="1:14" s="150" customFormat="1" ht="14.1" customHeight="1">
      <c r="A502" s="164"/>
      <c r="B502" s="162"/>
      <c r="C502" s="146" t="s">
        <v>414</v>
      </c>
      <c r="D502" s="151">
        <v>1000</v>
      </c>
      <c r="E502" s="149">
        <v>1000</v>
      </c>
      <c r="F502" s="229">
        <v>5000</v>
      </c>
      <c r="G502" s="147"/>
      <c r="H502" s="149">
        <f t="shared" si="397"/>
        <v>5000</v>
      </c>
      <c r="I502" s="147"/>
      <c r="J502" s="149">
        <f t="shared" si="398"/>
        <v>5000</v>
      </c>
      <c r="K502" s="147">
        <v>3184</v>
      </c>
      <c r="L502" s="229">
        <v>3000</v>
      </c>
      <c r="M502" s="335">
        <f t="shared" si="386"/>
        <v>-0.4</v>
      </c>
      <c r="N502" s="329">
        <f t="shared" si="361"/>
        <v>-2000</v>
      </c>
    </row>
    <row r="503" spans="1:14" s="150" customFormat="1" ht="14.1" customHeight="1">
      <c r="A503" s="164"/>
      <c r="B503" s="162"/>
      <c r="C503" s="146" t="s">
        <v>415</v>
      </c>
      <c r="D503" s="151">
        <v>900</v>
      </c>
      <c r="E503" s="149">
        <v>900</v>
      </c>
      <c r="F503" s="229">
        <v>154</v>
      </c>
      <c r="G503" s="147"/>
      <c r="H503" s="149">
        <f t="shared" si="397"/>
        <v>154</v>
      </c>
      <c r="I503" s="147"/>
      <c r="J503" s="149">
        <f t="shared" si="398"/>
        <v>154</v>
      </c>
      <c r="K503" s="147">
        <v>298</v>
      </c>
      <c r="L503" s="229">
        <v>310</v>
      </c>
      <c r="M503" s="335">
        <f t="shared" si="386"/>
        <v>1.0129870129870129</v>
      </c>
      <c r="N503" s="329">
        <f t="shared" si="361"/>
        <v>156</v>
      </c>
    </row>
    <row r="504" spans="1:14" s="150" customFormat="1" ht="14.1" customHeight="1">
      <c r="A504" s="164"/>
      <c r="B504" s="162"/>
      <c r="C504" s="146" t="s">
        <v>430</v>
      </c>
      <c r="D504" s="151"/>
      <c r="E504" s="149">
        <v>1250</v>
      </c>
      <c r="F504" s="229"/>
      <c r="G504" s="147"/>
      <c r="H504" s="149">
        <f t="shared" si="397"/>
        <v>0</v>
      </c>
      <c r="I504" s="147"/>
      <c r="J504" s="149">
        <f t="shared" si="398"/>
        <v>0</v>
      </c>
      <c r="K504" s="147"/>
      <c r="L504" s="229"/>
      <c r="M504" s="335" t="e">
        <f t="shared" si="386"/>
        <v>#DIV/0!</v>
      </c>
      <c r="N504" s="329">
        <f t="shared" si="361"/>
        <v>0</v>
      </c>
    </row>
    <row r="505" spans="1:14" s="150" customFormat="1" ht="14.1" customHeight="1">
      <c r="A505" s="164"/>
      <c r="B505" s="162"/>
      <c r="C505" s="146" t="s">
        <v>431</v>
      </c>
      <c r="D505" s="151"/>
      <c r="E505" s="149">
        <v>800</v>
      </c>
      <c r="F505" s="229">
        <v>600</v>
      </c>
      <c r="G505" s="147"/>
      <c r="H505" s="149">
        <f t="shared" si="397"/>
        <v>600</v>
      </c>
      <c r="I505" s="147"/>
      <c r="J505" s="149">
        <f t="shared" si="398"/>
        <v>600</v>
      </c>
      <c r="K505" s="147"/>
      <c r="L505" s="229">
        <v>630</v>
      </c>
      <c r="M505" s="335">
        <f t="shared" si="386"/>
        <v>0.05</v>
      </c>
      <c r="N505" s="329">
        <f t="shared" si="361"/>
        <v>30</v>
      </c>
    </row>
    <row r="506" spans="1:14" s="150" customFormat="1" ht="14.1" customHeight="1">
      <c r="A506" s="164"/>
      <c r="B506" s="145">
        <v>5512</v>
      </c>
      <c r="C506" s="159" t="s">
        <v>417</v>
      </c>
      <c r="D506" s="151"/>
      <c r="E506" s="149"/>
      <c r="F506" s="226">
        <v>250</v>
      </c>
      <c r="G506" s="17"/>
      <c r="H506" s="95">
        <f t="shared" ref="H506:H514" si="399">+G506+F506</f>
        <v>250</v>
      </c>
      <c r="I506" s="17"/>
      <c r="J506" s="95">
        <f t="shared" ref="J506:J514" si="400">+I506+H506</f>
        <v>250</v>
      </c>
      <c r="K506" s="17"/>
      <c r="L506" s="226">
        <v>300</v>
      </c>
      <c r="M506" s="335">
        <f t="shared" si="386"/>
        <v>0.2</v>
      </c>
      <c r="N506" s="329">
        <f t="shared" si="361"/>
        <v>50</v>
      </c>
    </row>
    <row r="507" spans="1:14" s="8" customFormat="1" ht="14.1" customHeight="1">
      <c r="A507" s="67"/>
      <c r="B507" s="64">
        <v>5514</v>
      </c>
      <c r="C507" s="34" t="s">
        <v>221</v>
      </c>
      <c r="D507" s="52"/>
      <c r="E507" s="95">
        <v>0</v>
      </c>
      <c r="F507" s="226">
        <v>0</v>
      </c>
      <c r="G507" s="17"/>
      <c r="H507" s="95">
        <f t="shared" si="399"/>
        <v>0</v>
      </c>
      <c r="I507" s="17"/>
      <c r="J507" s="95">
        <f t="shared" si="400"/>
        <v>0</v>
      </c>
      <c r="K507" s="17"/>
      <c r="L507" s="226"/>
      <c r="M507" s="335" t="e">
        <f t="shared" si="386"/>
        <v>#DIV/0!</v>
      </c>
      <c r="N507" s="329">
        <f t="shared" si="361"/>
        <v>0</v>
      </c>
    </row>
    <row r="508" spans="1:14" ht="14.1" customHeight="1">
      <c r="A508" s="67"/>
      <c r="B508" s="64">
        <v>5515</v>
      </c>
      <c r="C508" s="34" t="s">
        <v>257</v>
      </c>
      <c r="D508" s="52">
        <v>500</v>
      </c>
      <c r="E508" s="95">
        <v>250</v>
      </c>
      <c r="F508" s="226">
        <v>2000</v>
      </c>
      <c r="G508" s="17"/>
      <c r="H508" s="95">
        <f t="shared" si="399"/>
        <v>2000</v>
      </c>
      <c r="I508" s="17"/>
      <c r="J508" s="95">
        <f t="shared" si="400"/>
        <v>2000</v>
      </c>
      <c r="K508" s="17">
        <v>172</v>
      </c>
      <c r="L508" s="226">
        <v>2000</v>
      </c>
      <c r="M508" s="335">
        <f t="shared" si="386"/>
        <v>0</v>
      </c>
      <c r="N508" s="329">
        <f t="shared" si="361"/>
        <v>0</v>
      </c>
    </row>
    <row r="509" spans="1:14" ht="14.1" customHeight="1">
      <c r="A509" s="67"/>
      <c r="B509" s="33">
        <v>5516</v>
      </c>
      <c r="C509" s="43" t="s">
        <v>375</v>
      </c>
      <c r="D509" s="52">
        <v>0</v>
      </c>
      <c r="E509" s="95">
        <v>4274</v>
      </c>
      <c r="F509" s="226">
        <v>4000</v>
      </c>
      <c r="G509" s="17"/>
      <c r="H509" s="95">
        <f t="shared" si="399"/>
        <v>4000</v>
      </c>
      <c r="I509" s="17">
        <v>-500</v>
      </c>
      <c r="J509" s="95">
        <f t="shared" si="400"/>
        <v>3500</v>
      </c>
      <c r="K509" s="17"/>
      <c r="L509" s="226">
        <v>5500</v>
      </c>
      <c r="M509" s="335">
        <f t="shared" si="386"/>
        <v>0.5714285714285714</v>
      </c>
      <c r="N509" s="329">
        <f t="shared" si="361"/>
        <v>2000</v>
      </c>
    </row>
    <row r="510" spans="1:14" ht="14.1" customHeight="1">
      <c r="A510" s="67"/>
      <c r="B510" s="33">
        <v>5521</v>
      </c>
      <c r="C510" s="34" t="s">
        <v>418</v>
      </c>
      <c r="D510" s="52"/>
      <c r="E510" s="95">
        <v>0</v>
      </c>
      <c r="F510" s="226">
        <v>120</v>
      </c>
      <c r="G510" s="17"/>
      <c r="H510" s="95">
        <f t="shared" si="399"/>
        <v>120</v>
      </c>
      <c r="I510" s="17"/>
      <c r="J510" s="95">
        <f t="shared" si="400"/>
        <v>120</v>
      </c>
      <c r="K510" s="17"/>
      <c r="L510" s="226">
        <v>100</v>
      </c>
      <c r="M510" s="335">
        <f t="shared" si="386"/>
        <v>-0.16666666666666666</v>
      </c>
      <c r="N510" s="329">
        <f t="shared" si="361"/>
        <v>-20</v>
      </c>
    </row>
    <row r="511" spans="1:14" ht="14.1" customHeight="1">
      <c r="A511" s="67"/>
      <c r="B511" s="64">
        <v>5522</v>
      </c>
      <c r="C511" s="34" t="s">
        <v>262</v>
      </c>
      <c r="D511" s="52">
        <v>65</v>
      </c>
      <c r="E511" s="17">
        <v>0</v>
      </c>
      <c r="F511" s="226">
        <v>100</v>
      </c>
      <c r="G511" s="17"/>
      <c r="H511" s="95">
        <f t="shared" si="399"/>
        <v>100</v>
      </c>
      <c r="I511" s="17"/>
      <c r="J511" s="95">
        <f t="shared" si="400"/>
        <v>100</v>
      </c>
      <c r="K511" s="17"/>
      <c r="L511" s="226">
        <v>100</v>
      </c>
      <c r="M511" s="335">
        <f t="shared" si="386"/>
        <v>0</v>
      </c>
      <c r="N511" s="329">
        <f t="shared" si="361"/>
        <v>0</v>
      </c>
    </row>
    <row r="512" spans="1:14" ht="14.1" customHeight="1">
      <c r="A512" s="67"/>
      <c r="B512" s="64">
        <v>5524</v>
      </c>
      <c r="C512" s="34" t="s">
        <v>432</v>
      </c>
      <c r="D512" s="52">
        <v>500</v>
      </c>
      <c r="E512" s="17">
        <v>0</v>
      </c>
      <c r="F512" s="226"/>
      <c r="G512" s="17"/>
      <c r="H512" s="95">
        <f t="shared" si="399"/>
        <v>0</v>
      </c>
      <c r="I512" s="17"/>
      <c r="J512" s="95">
        <f t="shared" si="400"/>
        <v>0</v>
      </c>
      <c r="K512" s="17"/>
      <c r="L512" s="226"/>
      <c r="M512" s="335" t="e">
        <f t="shared" si="386"/>
        <v>#DIV/0!</v>
      </c>
      <c r="N512" s="329">
        <f t="shared" si="361"/>
        <v>0</v>
      </c>
    </row>
    <row r="513" spans="1:14" ht="14.1" customHeight="1">
      <c r="A513" s="67"/>
      <c r="B513" s="64">
        <v>5525</v>
      </c>
      <c r="C513" s="34" t="s">
        <v>264</v>
      </c>
      <c r="D513" s="52"/>
      <c r="E513" s="17">
        <v>0</v>
      </c>
      <c r="F513" s="226">
        <v>250</v>
      </c>
      <c r="G513" s="17"/>
      <c r="H513" s="95">
        <f t="shared" si="399"/>
        <v>250</v>
      </c>
      <c r="I513" s="17"/>
      <c r="J513" s="95">
        <f t="shared" si="400"/>
        <v>250</v>
      </c>
      <c r="K513" s="17"/>
      <c r="L513" s="226">
        <v>150</v>
      </c>
      <c r="M513" s="335">
        <f t="shared" si="386"/>
        <v>-0.4</v>
      </c>
      <c r="N513" s="329">
        <f t="shared" si="361"/>
        <v>-100</v>
      </c>
    </row>
    <row r="514" spans="1:14" ht="14.1" customHeight="1">
      <c r="A514" s="67"/>
      <c r="B514" s="33" t="s">
        <v>305</v>
      </c>
      <c r="C514" s="34" t="s">
        <v>348</v>
      </c>
      <c r="D514" s="52"/>
      <c r="E514" s="17">
        <v>650</v>
      </c>
      <c r="F514" s="226">
        <v>800</v>
      </c>
      <c r="G514" s="17"/>
      <c r="H514" s="95">
        <f t="shared" si="399"/>
        <v>800</v>
      </c>
      <c r="I514" s="17"/>
      <c r="J514" s="95">
        <f t="shared" si="400"/>
        <v>800</v>
      </c>
      <c r="K514" s="17"/>
      <c r="L514" s="226">
        <v>550</v>
      </c>
      <c r="M514" s="335">
        <f t="shared" si="386"/>
        <v>-0.3125</v>
      </c>
      <c r="N514" s="329">
        <f t="shared" si="361"/>
        <v>-250</v>
      </c>
    </row>
    <row r="515" spans="1:14" ht="14.1" customHeight="1">
      <c r="A515" s="56" t="s">
        <v>433</v>
      </c>
      <c r="B515" s="46"/>
      <c r="C515" s="47" t="s">
        <v>434</v>
      </c>
      <c r="D515" s="53">
        <v>14000</v>
      </c>
      <c r="E515" s="54">
        <v>17000</v>
      </c>
      <c r="F515" s="54">
        <f t="shared" ref="F515" si="401">+F516+F517+F518</f>
        <v>18184</v>
      </c>
      <c r="G515" s="54">
        <f t="shared" ref="G515:I515" si="402">+G516+G517+G518</f>
        <v>0</v>
      </c>
      <c r="H515" s="54">
        <f t="shared" ref="H515:J515" si="403">+H516+H517+H518</f>
        <v>18184</v>
      </c>
      <c r="I515" s="54">
        <f t="shared" si="402"/>
        <v>0</v>
      </c>
      <c r="J515" s="54">
        <f t="shared" si="403"/>
        <v>18184</v>
      </c>
      <c r="K515" s="54">
        <f t="shared" ref="K515:L515" si="404">+K516+K517+K518</f>
        <v>12000</v>
      </c>
      <c r="L515" s="54">
        <f t="shared" si="404"/>
        <v>18000</v>
      </c>
      <c r="M515" s="335">
        <f t="shared" si="386"/>
        <v>-1.0118785745710514E-2</v>
      </c>
      <c r="N515" s="329">
        <f t="shared" si="361"/>
        <v>-184</v>
      </c>
    </row>
    <row r="516" spans="1:14" ht="14.1" customHeight="1">
      <c r="A516" s="69"/>
      <c r="B516" s="38">
        <v>45</v>
      </c>
      <c r="C516" s="39" t="s">
        <v>426</v>
      </c>
      <c r="D516" s="52">
        <v>14000</v>
      </c>
      <c r="E516" s="140">
        <v>17000</v>
      </c>
      <c r="F516" s="140">
        <v>18184</v>
      </c>
      <c r="G516" s="140"/>
      <c r="H516" s="140">
        <f t="shared" ref="H516" si="405">+G516+F516</f>
        <v>18184</v>
      </c>
      <c r="I516" s="141"/>
      <c r="J516" s="140">
        <f t="shared" ref="J516" si="406">+I516+H516</f>
        <v>18184</v>
      </c>
      <c r="K516" s="140">
        <v>12000</v>
      </c>
      <c r="L516" s="140">
        <v>18000</v>
      </c>
      <c r="M516" s="335">
        <f t="shared" si="386"/>
        <v>-1.0118785745710514E-2</v>
      </c>
      <c r="N516" s="329">
        <f t="shared" si="361"/>
        <v>-184</v>
      </c>
    </row>
    <row r="517" spans="1:14" ht="14.1" customHeight="1">
      <c r="A517" s="67"/>
      <c r="B517" s="60">
        <v>50</v>
      </c>
      <c r="C517" s="61" t="s">
        <v>211</v>
      </c>
      <c r="D517" s="52"/>
      <c r="E517" s="143">
        <v>0</v>
      </c>
      <c r="F517" s="143">
        <v>0</v>
      </c>
      <c r="G517" s="143">
        <v>0</v>
      </c>
      <c r="H517" s="143">
        <f>+F517+G517</f>
        <v>0</v>
      </c>
      <c r="I517" s="143">
        <v>0</v>
      </c>
      <c r="J517" s="143">
        <f>+H517+I517</f>
        <v>0</v>
      </c>
      <c r="K517" s="143">
        <f>+I517+J517</f>
        <v>0</v>
      </c>
      <c r="L517" s="143">
        <v>0</v>
      </c>
      <c r="M517" s="335" t="e">
        <f t="shared" si="386"/>
        <v>#DIV/0!</v>
      </c>
      <c r="N517" s="329">
        <f t="shared" si="361"/>
        <v>0</v>
      </c>
    </row>
    <row r="518" spans="1:14" ht="14.1" customHeight="1">
      <c r="A518" s="67"/>
      <c r="B518" s="60">
        <v>55</v>
      </c>
      <c r="C518" s="61" t="s">
        <v>213</v>
      </c>
      <c r="D518" s="52"/>
      <c r="E518" s="137">
        <v>0</v>
      </c>
      <c r="F518" s="137">
        <f t="shared" ref="F518:G518" si="407">+F519+F520+F521</f>
        <v>0</v>
      </c>
      <c r="G518" s="137">
        <f t="shared" si="407"/>
        <v>0</v>
      </c>
      <c r="H518" s="137">
        <f t="shared" ref="H518:I518" si="408">+H519+H520+H521</f>
        <v>0</v>
      </c>
      <c r="I518" s="137">
        <f t="shared" si="408"/>
        <v>0</v>
      </c>
      <c r="J518" s="137">
        <f t="shared" ref="J518:L518" si="409">+J519+J520+J521</f>
        <v>0</v>
      </c>
      <c r="K518" s="137">
        <f t="shared" si="409"/>
        <v>0</v>
      </c>
      <c r="L518" s="137">
        <f t="shared" si="409"/>
        <v>0</v>
      </c>
      <c r="M518" s="335" t="e">
        <f t="shared" si="386"/>
        <v>#DIV/0!</v>
      </c>
      <c r="N518" s="329">
        <f t="shared" ref="N518:N581" si="410">L518-J518</f>
        <v>0</v>
      </c>
    </row>
    <row r="519" spans="1:14" ht="14.1" customHeight="1">
      <c r="A519" s="67"/>
      <c r="B519" s="64">
        <v>5513</v>
      </c>
      <c r="C519" s="40" t="s">
        <v>435</v>
      </c>
      <c r="D519" s="52"/>
      <c r="E519" s="17">
        <v>0</v>
      </c>
      <c r="F519" s="224">
        <v>0</v>
      </c>
      <c r="G519" s="17"/>
      <c r="H519" s="17">
        <f>+F519+G519</f>
        <v>0</v>
      </c>
      <c r="I519" s="17"/>
      <c r="J519" s="17">
        <f>+H519+I519</f>
        <v>0</v>
      </c>
      <c r="K519" s="17"/>
      <c r="L519" s="226">
        <v>0</v>
      </c>
      <c r="M519" s="335" t="e">
        <f t="shared" si="386"/>
        <v>#DIV/0!</v>
      </c>
      <c r="N519" s="329">
        <f t="shared" si="410"/>
        <v>0</v>
      </c>
    </row>
    <row r="520" spans="1:14" ht="14.1" customHeight="1">
      <c r="A520" s="67"/>
      <c r="B520" s="64">
        <v>5514</v>
      </c>
      <c r="C520" s="34" t="s">
        <v>221</v>
      </c>
      <c r="D520" s="52"/>
      <c r="E520" s="17">
        <v>0</v>
      </c>
      <c r="F520" s="224">
        <v>0</v>
      </c>
      <c r="G520" s="17"/>
      <c r="H520" s="17">
        <f t="shared" ref="H520:H521" si="411">+F520+G520</f>
        <v>0</v>
      </c>
      <c r="I520" s="17"/>
      <c r="J520" s="17">
        <f t="shared" ref="J520:J521" si="412">+H520+I520</f>
        <v>0</v>
      </c>
      <c r="K520" s="17"/>
      <c r="L520" s="226">
        <v>0</v>
      </c>
      <c r="M520" s="335" t="e">
        <f t="shared" si="386"/>
        <v>#DIV/0!</v>
      </c>
      <c r="N520" s="329">
        <f t="shared" si="410"/>
        <v>0</v>
      </c>
    </row>
    <row r="521" spans="1:14" ht="14.1" customHeight="1">
      <c r="A521" s="67"/>
      <c r="B521" s="64">
        <v>5522</v>
      </c>
      <c r="C521" s="34" t="s">
        <v>262</v>
      </c>
      <c r="D521" s="52"/>
      <c r="E521" s="17">
        <v>0</v>
      </c>
      <c r="F521" s="224">
        <v>0</v>
      </c>
      <c r="G521" s="17"/>
      <c r="H521" s="17">
        <f t="shared" si="411"/>
        <v>0</v>
      </c>
      <c r="I521" s="17"/>
      <c r="J521" s="17">
        <f t="shared" si="412"/>
        <v>0</v>
      </c>
      <c r="K521" s="17"/>
      <c r="L521" s="226">
        <v>0</v>
      </c>
      <c r="M521" s="335" t="e">
        <f t="shared" si="386"/>
        <v>#DIV/0!</v>
      </c>
      <c r="N521" s="329">
        <f t="shared" si="410"/>
        <v>0</v>
      </c>
    </row>
    <row r="522" spans="1:14" ht="14.1" customHeight="1">
      <c r="A522" s="56" t="s">
        <v>436</v>
      </c>
      <c r="B522" s="55"/>
      <c r="C522" s="47" t="s">
        <v>437</v>
      </c>
      <c r="D522" s="53">
        <v>86500</v>
      </c>
      <c r="E522" s="50">
        <v>68430</v>
      </c>
      <c r="F522" s="50">
        <f t="shared" ref="F522" si="413">+F523+F524+F534</f>
        <v>92200</v>
      </c>
      <c r="G522" s="50">
        <f t="shared" ref="G522:H522" si="414">+G523+G524+G534</f>
        <v>0</v>
      </c>
      <c r="H522" s="50">
        <f t="shared" si="414"/>
        <v>92200</v>
      </c>
      <c r="I522" s="50">
        <f t="shared" ref="I522:J522" si="415">+I523+I524+I534</f>
        <v>-2000</v>
      </c>
      <c r="J522" s="50">
        <f t="shared" si="415"/>
        <v>90200</v>
      </c>
      <c r="K522" s="50">
        <f t="shared" ref="K522" si="416">+K523+K524+K534</f>
        <v>63314</v>
      </c>
      <c r="L522" s="50">
        <f>+L523+L524+L534</f>
        <v>90000</v>
      </c>
      <c r="M522" s="335">
        <f t="shared" si="386"/>
        <v>-2.2172949002217295E-3</v>
      </c>
      <c r="N522" s="329">
        <f t="shared" si="410"/>
        <v>-200</v>
      </c>
    </row>
    <row r="523" spans="1:14" ht="14.1" customHeight="1">
      <c r="A523" s="69"/>
      <c r="B523" s="60">
        <v>50</v>
      </c>
      <c r="C523" s="61" t="s">
        <v>211</v>
      </c>
      <c r="D523" s="52">
        <v>33800</v>
      </c>
      <c r="E523" s="143">
        <v>29000</v>
      </c>
      <c r="F523" s="224">
        <v>37450</v>
      </c>
      <c r="G523" s="143"/>
      <c r="H523" s="143">
        <f t="shared" ref="H523" si="417">+G523+F523</f>
        <v>37450</v>
      </c>
      <c r="I523" s="143">
        <v>-2000</v>
      </c>
      <c r="J523" s="143">
        <f t="shared" ref="J523" si="418">+I523+H523</f>
        <v>35450</v>
      </c>
      <c r="K523" s="143">
        <v>26233</v>
      </c>
      <c r="L523" s="152">
        <v>36000</v>
      </c>
      <c r="M523" s="335">
        <f t="shared" si="386"/>
        <v>1.5514809590973202E-2</v>
      </c>
      <c r="N523" s="329">
        <f t="shared" si="410"/>
        <v>550</v>
      </c>
    </row>
    <row r="524" spans="1:14" ht="14.1" customHeight="1">
      <c r="A524" s="69"/>
      <c r="B524" s="60">
        <v>55</v>
      </c>
      <c r="C524" s="61" t="s">
        <v>213</v>
      </c>
      <c r="D524" s="52">
        <v>52700</v>
      </c>
      <c r="E524" s="138">
        <v>39430</v>
      </c>
      <c r="F524" s="138">
        <f t="shared" ref="F524" si="419">SUM(F525:F533)</f>
        <v>54750</v>
      </c>
      <c r="G524" s="138">
        <f t="shared" ref="G524:H524" si="420">SUM(G525:G533)</f>
        <v>0</v>
      </c>
      <c r="H524" s="138">
        <f t="shared" si="420"/>
        <v>54750</v>
      </c>
      <c r="I524" s="138">
        <f t="shared" ref="I524:K524" si="421">SUM(I525:I533)</f>
        <v>0</v>
      </c>
      <c r="J524" s="138">
        <f t="shared" si="421"/>
        <v>54750</v>
      </c>
      <c r="K524" s="138">
        <f t="shared" si="421"/>
        <v>37066</v>
      </c>
      <c r="L524" s="138">
        <f>SUM(L525:L533)</f>
        <v>53980</v>
      </c>
      <c r="M524" s="335">
        <f t="shared" si="386"/>
        <v>-1.4063926940639269E-2</v>
      </c>
      <c r="N524" s="329">
        <f t="shared" si="410"/>
        <v>-770</v>
      </c>
    </row>
    <row r="525" spans="1:14" ht="14.1" customHeight="1">
      <c r="A525" s="69"/>
      <c r="B525" s="64">
        <v>5500</v>
      </c>
      <c r="C525" s="40" t="s">
        <v>429</v>
      </c>
      <c r="D525" s="52">
        <v>0</v>
      </c>
      <c r="E525" s="17">
        <v>0</v>
      </c>
      <c r="F525" s="224">
        <v>300</v>
      </c>
      <c r="G525" s="17"/>
      <c r="H525" s="17">
        <f t="shared" ref="H525:H534" si="422">+F525+G525</f>
        <v>300</v>
      </c>
      <c r="I525" s="17"/>
      <c r="J525" s="17">
        <f t="shared" ref="J525:J534" si="423">+H525+I525</f>
        <v>300</v>
      </c>
      <c r="K525" s="17"/>
      <c r="L525" s="226">
        <v>50</v>
      </c>
      <c r="M525" s="335">
        <f t="shared" si="386"/>
        <v>-0.83333333333333337</v>
      </c>
      <c r="N525" s="329">
        <f t="shared" si="410"/>
        <v>-250</v>
      </c>
    </row>
    <row r="526" spans="1:14" ht="14.1" customHeight="1">
      <c r="A526" s="69"/>
      <c r="B526" s="33">
        <v>5503</v>
      </c>
      <c r="C526" s="34" t="s">
        <v>216</v>
      </c>
      <c r="D526" s="52"/>
      <c r="E526" s="17"/>
      <c r="F526" s="224">
        <v>200</v>
      </c>
      <c r="G526" s="17"/>
      <c r="H526" s="17">
        <f t="shared" si="422"/>
        <v>200</v>
      </c>
      <c r="I526" s="17"/>
      <c r="J526" s="17">
        <f t="shared" si="423"/>
        <v>200</v>
      </c>
      <c r="K526" s="17"/>
      <c r="L526" s="226"/>
      <c r="M526" s="335">
        <f t="shared" si="386"/>
        <v>-1</v>
      </c>
      <c r="N526" s="329">
        <f t="shared" si="410"/>
        <v>-200</v>
      </c>
    </row>
    <row r="527" spans="1:14" ht="14.1" customHeight="1">
      <c r="A527" s="69"/>
      <c r="B527" s="64">
        <v>5504</v>
      </c>
      <c r="C527" s="34" t="s">
        <v>230</v>
      </c>
      <c r="D527" s="52">
        <v>0</v>
      </c>
      <c r="E527" s="17">
        <v>1030</v>
      </c>
      <c r="F527" s="224">
        <v>250</v>
      </c>
      <c r="G527" s="17"/>
      <c r="H527" s="17">
        <f t="shared" si="422"/>
        <v>250</v>
      </c>
      <c r="I527" s="17"/>
      <c r="J527" s="17">
        <f t="shared" si="423"/>
        <v>250</v>
      </c>
      <c r="K527" s="17"/>
      <c r="L527" s="226">
        <v>250</v>
      </c>
      <c r="M527" s="335">
        <f t="shared" si="386"/>
        <v>0</v>
      </c>
      <c r="N527" s="329">
        <f t="shared" si="410"/>
        <v>0</v>
      </c>
    </row>
    <row r="528" spans="1:14" ht="14.1" customHeight="1">
      <c r="A528" s="67"/>
      <c r="B528" s="64">
        <v>5512</v>
      </c>
      <c r="C528" s="34" t="s">
        <v>344</v>
      </c>
      <c r="D528" s="52">
        <v>39700</v>
      </c>
      <c r="E528" s="17">
        <v>25000</v>
      </c>
      <c r="F528" s="224">
        <v>37550</v>
      </c>
      <c r="G528" s="17"/>
      <c r="H528" s="17">
        <f t="shared" si="422"/>
        <v>37550</v>
      </c>
      <c r="I528" s="17"/>
      <c r="J528" s="17">
        <f t="shared" si="423"/>
        <v>37550</v>
      </c>
      <c r="K528" s="17">
        <v>14756</v>
      </c>
      <c r="L528" s="226">
        <v>37000</v>
      </c>
      <c r="M528" s="335">
        <f t="shared" si="386"/>
        <v>-1.4647137150466045E-2</v>
      </c>
      <c r="N528" s="329">
        <f t="shared" si="410"/>
        <v>-550</v>
      </c>
    </row>
    <row r="529" spans="1:14" ht="14.1" customHeight="1">
      <c r="A529" s="67"/>
      <c r="B529" s="64">
        <v>5513</v>
      </c>
      <c r="C529" s="40" t="s">
        <v>438</v>
      </c>
      <c r="D529" s="52">
        <v>0</v>
      </c>
      <c r="E529" s="17">
        <v>7900</v>
      </c>
      <c r="F529" s="224">
        <v>6750</v>
      </c>
      <c r="G529" s="17"/>
      <c r="H529" s="17">
        <f t="shared" si="422"/>
        <v>6750</v>
      </c>
      <c r="I529" s="17"/>
      <c r="J529" s="17">
        <f t="shared" si="423"/>
        <v>6750</v>
      </c>
      <c r="K529" s="17">
        <v>3146</v>
      </c>
      <c r="L529" s="226">
        <v>6800</v>
      </c>
      <c r="M529" s="335">
        <f t="shared" si="386"/>
        <v>7.4074074074074077E-3</v>
      </c>
      <c r="N529" s="329">
        <f t="shared" si="410"/>
        <v>50</v>
      </c>
    </row>
    <row r="530" spans="1:14" ht="14.1" customHeight="1">
      <c r="A530" s="67"/>
      <c r="B530" s="64">
        <v>5515</v>
      </c>
      <c r="C530" s="34" t="s">
        <v>257</v>
      </c>
      <c r="D530" s="52">
        <v>13000</v>
      </c>
      <c r="E530" s="17">
        <v>5500</v>
      </c>
      <c r="F530" s="224">
        <v>9500</v>
      </c>
      <c r="G530" s="17"/>
      <c r="H530" s="17">
        <f t="shared" si="422"/>
        <v>9500</v>
      </c>
      <c r="I530" s="17"/>
      <c r="J530" s="17">
        <f t="shared" si="423"/>
        <v>9500</v>
      </c>
      <c r="K530" s="17">
        <v>18745</v>
      </c>
      <c r="L530" s="226">
        <v>9000</v>
      </c>
      <c r="M530" s="335">
        <f t="shared" si="386"/>
        <v>-5.2631578947368418E-2</v>
      </c>
      <c r="N530" s="329">
        <f t="shared" si="410"/>
        <v>-500</v>
      </c>
    </row>
    <row r="531" spans="1:14" ht="14.1" customHeight="1">
      <c r="A531" s="67"/>
      <c r="B531" s="64">
        <v>5522</v>
      </c>
      <c r="C531" s="34" t="s">
        <v>262</v>
      </c>
      <c r="D531" s="52"/>
      <c r="E531" s="17"/>
      <c r="F531" s="224">
        <v>200</v>
      </c>
      <c r="G531" s="17"/>
      <c r="H531" s="17">
        <f t="shared" si="422"/>
        <v>200</v>
      </c>
      <c r="I531" s="17"/>
      <c r="J531" s="17">
        <f t="shared" si="423"/>
        <v>200</v>
      </c>
      <c r="K531" s="17"/>
      <c r="L531" s="226">
        <v>100</v>
      </c>
      <c r="M531" s="335">
        <f t="shared" si="386"/>
        <v>-0.5</v>
      </c>
      <c r="N531" s="329">
        <f t="shared" si="410"/>
        <v>-100</v>
      </c>
    </row>
    <row r="532" spans="1:14" ht="14.1" customHeight="1">
      <c r="A532" s="67"/>
      <c r="B532" s="64">
        <v>5532</v>
      </c>
      <c r="C532" s="34" t="s">
        <v>419</v>
      </c>
      <c r="D532" s="52"/>
      <c r="E532" s="17"/>
      <c r="F532" s="224"/>
      <c r="G532" s="17"/>
      <c r="H532" s="17"/>
      <c r="I532" s="17"/>
      <c r="J532" s="17"/>
      <c r="K532" s="17">
        <v>299</v>
      </c>
      <c r="L532" s="226">
        <v>280</v>
      </c>
      <c r="M532" s="335"/>
      <c r="N532" s="329">
        <f t="shared" si="410"/>
        <v>280</v>
      </c>
    </row>
    <row r="533" spans="1:14" ht="14.1" customHeight="1">
      <c r="A533" s="67"/>
      <c r="B533" s="64">
        <v>5540</v>
      </c>
      <c r="C533" s="34" t="s">
        <v>348</v>
      </c>
      <c r="D533" s="52">
        <v>0</v>
      </c>
      <c r="E533" s="17">
        <v>0</v>
      </c>
      <c r="F533" s="224">
        <v>0</v>
      </c>
      <c r="G533" s="17"/>
      <c r="H533" s="17">
        <f t="shared" si="422"/>
        <v>0</v>
      </c>
      <c r="I533" s="17"/>
      <c r="J533" s="17">
        <f t="shared" si="423"/>
        <v>0</v>
      </c>
      <c r="K533" s="17">
        <v>120</v>
      </c>
      <c r="L533" s="226">
        <v>500</v>
      </c>
      <c r="M533" s="335" t="e">
        <f t="shared" si="386"/>
        <v>#DIV/0!</v>
      </c>
      <c r="N533" s="329">
        <f t="shared" si="410"/>
        <v>500</v>
      </c>
    </row>
    <row r="534" spans="1:14" ht="14.1" customHeight="1">
      <c r="A534" s="67"/>
      <c r="B534" s="64">
        <v>601</v>
      </c>
      <c r="C534" s="34" t="s">
        <v>439</v>
      </c>
      <c r="D534" s="52">
        <v>0</v>
      </c>
      <c r="E534" s="17">
        <v>0</v>
      </c>
      <c r="F534" s="224">
        <v>0</v>
      </c>
      <c r="G534" s="17"/>
      <c r="H534" s="17">
        <f t="shared" si="422"/>
        <v>0</v>
      </c>
      <c r="I534" s="17"/>
      <c r="J534" s="17">
        <f t="shared" si="423"/>
        <v>0</v>
      </c>
      <c r="K534" s="17">
        <v>15</v>
      </c>
      <c r="L534" s="225">
        <v>20</v>
      </c>
      <c r="M534" s="335" t="e">
        <f t="shared" si="386"/>
        <v>#DIV/0!</v>
      </c>
      <c r="N534" s="329">
        <f t="shared" si="410"/>
        <v>20</v>
      </c>
    </row>
    <row r="535" spans="1:14" s="2" customFormat="1" ht="14.1" customHeight="1">
      <c r="A535" s="56" t="s">
        <v>440</v>
      </c>
      <c r="B535" s="46"/>
      <c r="C535" s="47" t="s">
        <v>441</v>
      </c>
      <c r="D535" s="53">
        <v>46620</v>
      </c>
      <c r="E535" s="54">
        <v>39890</v>
      </c>
      <c r="F535" s="50">
        <f t="shared" ref="F535:J535" si="424">+F536+F537</f>
        <v>52390</v>
      </c>
      <c r="G535" s="54">
        <f t="shared" si="424"/>
        <v>9212</v>
      </c>
      <c r="H535" s="54">
        <f t="shared" si="424"/>
        <v>61602</v>
      </c>
      <c r="I535" s="54">
        <f t="shared" si="424"/>
        <v>-5000</v>
      </c>
      <c r="J535" s="54">
        <f t="shared" si="424"/>
        <v>56602</v>
      </c>
      <c r="K535" s="54">
        <f t="shared" ref="K535:L535" si="425">+K536+K537</f>
        <v>36735</v>
      </c>
      <c r="L535" s="50">
        <f t="shared" si="425"/>
        <v>56500</v>
      </c>
      <c r="M535" s="335">
        <f t="shared" si="386"/>
        <v>-1.8020564644358856E-3</v>
      </c>
      <c r="N535" s="329">
        <f t="shared" si="410"/>
        <v>-102</v>
      </c>
    </row>
    <row r="536" spans="1:14" s="2" customFormat="1" ht="14.1" customHeight="1">
      <c r="A536" s="69"/>
      <c r="B536" s="38">
        <v>50</v>
      </c>
      <c r="C536" s="61" t="s">
        <v>211</v>
      </c>
      <c r="D536" s="52">
        <v>10120</v>
      </c>
      <c r="E536" s="143">
        <v>11240</v>
      </c>
      <c r="F536" s="224">
        <v>12840</v>
      </c>
      <c r="G536" s="143"/>
      <c r="H536" s="143">
        <f t="shared" ref="H536" si="426">+G536+F536</f>
        <v>12840</v>
      </c>
      <c r="I536" s="143"/>
      <c r="J536" s="143">
        <f t="shared" ref="J536" si="427">+I536+H536</f>
        <v>12840</v>
      </c>
      <c r="K536" s="143">
        <v>9633</v>
      </c>
      <c r="L536" s="152">
        <v>14600</v>
      </c>
      <c r="M536" s="335">
        <f t="shared" si="386"/>
        <v>0.13707165109034267</v>
      </c>
      <c r="N536" s="329">
        <f t="shared" si="410"/>
        <v>1760</v>
      </c>
    </row>
    <row r="537" spans="1:14" s="2" customFormat="1" ht="14.1" customHeight="1">
      <c r="A537" s="69"/>
      <c r="B537" s="38">
        <v>55</v>
      </c>
      <c r="C537" s="61" t="s">
        <v>213</v>
      </c>
      <c r="D537" s="52">
        <v>36500</v>
      </c>
      <c r="E537" s="137">
        <v>28650</v>
      </c>
      <c r="F537" s="138">
        <f t="shared" ref="F537:H537" si="428">+F538+F541+F554+F555+F557+F558+F559+F553+F556+F539+F540</f>
        <v>39550</v>
      </c>
      <c r="G537" s="137">
        <f t="shared" si="428"/>
        <v>9212</v>
      </c>
      <c r="H537" s="137">
        <f t="shared" si="428"/>
        <v>48762</v>
      </c>
      <c r="I537" s="137">
        <f t="shared" ref="I537:K537" si="429">+I538+I541+I554+I555+I557+I558+I559+I553+I556+I539+I540</f>
        <v>-5000</v>
      </c>
      <c r="J537" s="137">
        <f t="shared" si="429"/>
        <v>43762</v>
      </c>
      <c r="K537" s="137">
        <f t="shared" si="429"/>
        <v>27102</v>
      </c>
      <c r="L537" s="138">
        <f t="shared" ref="L537" si="430">+L538+L541+L554+L555+L557+L558+L559+L553+L556+L539+L540</f>
        <v>41900</v>
      </c>
      <c r="M537" s="335">
        <f t="shared" si="386"/>
        <v>-4.254832960102372E-2</v>
      </c>
      <c r="N537" s="329">
        <f t="shared" si="410"/>
        <v>-1862</v>
      </c>
    </row>
    <row r="538" spans="1:14" s="2" customFormat="1" ht="14.1" customHeight="1">
      <c r="A538" s="69"/>
      <c r="B538" s="33">
        <v>5500</v>
      </c>
      <c r="C538" s="40" t="s">
        <v>429</v>
      </c>
      <c r="D538" s="52"/>
      <c r="E538" s="17">
        <v>74</v>
      </c>
      <c r="F538" s="224">
        <v>100</v>
      </c>
      <c r="G538" s="17"/>
      <c r="H538" s="17">
        <f>+F538+G538</f>
        <v>100</v>
      </c>
      <c r="I538" s="17"/>
      <c r="J538" s="17">
        <f>+H538+I538</f>
        <v>100</v>
      </c>
      <c r="K538" s="17"/>
      <c r="L538" s="226">
        <v>100</v>
      </c>
      <c r="M538" s="335">
        <f t="shared" si="386"/>
        <v>0</v>
      </c>
      <c r="N538" s="329">
        <f t="shared" si="410"/>
        <v>0</v>
      </c>
    </row>
    <row r="539" spans="1:14" s="2" customFormat="1" ht="14.1" customHeight="1">
      <c r="A539" s="69"/>
      <c r="B539" s="33">
        <v>5503</v>
      </c>
      <c r="C539" s="34" t="s">
        <v>216</v>
      </c>
      <c r="D539" s="52"/>
      <c r="E539" s="95">
        <v>0</v>
      </c>
      <c r="F539" s="224">
        <v>0</v>
      </c>
      <c r="G539" s="17"/>
      <c r="H539" s="17">
        <f t="shared" ref="H539:H540" si="431">+F539+G539</f>
        <v>0</v>
      </c>
      <c r="I539" s="17"/>
      <c r="J539" s="17">
        <f t="shared" ref="J539:J540" si="432">+H539+I539</f>
        <v>0</v>
      </c>
      <c r="K539" s="17"/>
      <c r="L539" s="226"/>
      <c r="M539" s="335" t="e">
        <f t="shared" si="386"/>
        <v>#DIV/0!</v>
      </c>
      <c r="N539" s="329">
        <f t="shared" si="410"/>
        <v>0</v>
      </c>
    </row>
    <row r="540" spans="1:14" s="2" customFormat="1" ht="14.1" customHeight="1">
      <c r="A540" s="69"/>
      <c r="B540" s="64">
        <v>5504</v>
      </c>
      <c r="C540" s="34" t="s">
        <v>230</v>
      </c>
      <c r="D540" s="52"/>
      <c r="E540" s="95">
        <v>137</v>
      </c>
      <c r="F540" s="224">
        <v>150</v>
      </c>
      <c r="G540" s="17"/>
      <c r="H540" s="17">
        <f t="shared" si="431"/>
        <v>150</v>
      </c>
      <c r="I540" s="17"/>
      <c r="J540" s="17">
        <f t="shared" si="432"/>
        <v>150</v>
      </c>
      <c r="K540" s="17"/>
      <c r="L540" s="226">
        <v>100</v>
      </c>
      <c r="M540" s="335">
        <f t="shared" si="386"/>
        <v>-0.33333333333333331</v>
      </c>
      <c r="N540" s="329">
        <f t="shared" si="410"/>
        <v>-50</v>
      </c>
    </row>
    <row r="541" spans="1:14" ht="14.1" customHeight="1">
      <c r="A541" s="67"/>
      <c r="B541" s="64">
        <v>5511</v>
      </c>
      <c r="C541" s="34" t="s">
        <v>219</v>
      </c>
      <c r="D541" s="52">
        <v>32500</v>
      </c>
      <c r="E541" s="95">
        <v>26600</v>
      </c>
      <c r="F541" s="224">
        <f>SUM(F542:F551)</f>
        <v>34250</v>
      </c>
      <c r="G541" s="95">
        <f t="shared" ref="G541:L541" si="433">SUM(G542:G552)</f>
        <v>10212</v>
      </c>
      <c r="H541" s="95">
        <f t="shared" si="433"/>
        <v>44462</v>
      </c>
      <c r="I541" s="95">
        <f t="shared" si="433"/>
        <v>-5000</v>
      </c>
      <c r="J541" s="95">
        <f t="shared" si="433"/>
        <v>39462</v>
      </c>
      <c r="K541" s="95">
        <f t="shared" si="433"/>
        <v>25602</v>
      </c>
      <c r="L541" s="224">
        <f t="shared" si="433"/>
        <v>37900</v>
      </c>
      <c r="M541" s="335">
        <f t="shared" si="386"/>
        <v>-3.9582383052050071E-2</v>
      </c>
      <c r="N541" s="329">
        <f t="shared" si="410"/>
        <v>-1562</v>
      </c>
    </row>
    <row r="542" spans="1:14" s="142" customFormat="1" ht="14.1" customHeight="1">
      <c r="A542" s="165"/>
      <c r="B542" s="166"/>
      <c r="C542" s="159" t="s">
        <v>442</v>
      </c>
      <c r="D542" s="151">
        <v>21000</v>
      </c>
      <c r="E542" s="147">
        <v>20000</v>
      </c>
      <c r="F542" s="230">
        <v>24000</v>
      </c>
      <c r="G542" s="147">
        <v>5000</v>
      </c>
      <c r="H542" s="147">
        <f>+F542+G542</f>
        <v>29000</v>
      </c>
      <c r="I542" s="147"/>
      <c r="J542" s="147">
        <f>+H542+I542</f>
        <v>29000</v>
      </c>
      <c r="K542" s="147">
        <v>17736</v>
      </c>
      <c r="L542" s="229">
        <v>27000</v>
      </c>
      <c r="M542" s="335">
        <f t="shared" si="386"/>
        <v>-6.8965517241379309E-2</v>
      </c>
      <c r="N542" s="329">
        <f t="shared" si="410"/>
        <v>-2000</v>
      </c>
    </row>
    <row r="543" spans="1:14" s="142" customFormat="1" ht="14.1" customHeight="1">
      <c r="A543" s="165"/>
      <c r="B543" s="162"/>
      <c r="C543" s="146" t="s">
        <v>408</v>
      </c>
      <c r="D543" s="151">
        <v>3300</v>
      </c>
      <c r="E543" s="147">
        <v>1400</v>
      </c>
      <c r="F543" s="230">
        <v>2600</v>
      </c>
      <c r="G543" s="147">
        <v>-500</v>
      </c>
      <c r="H543" s="147">
        <f t="shared" ref="H543:H552" si="434">+F543+G543</f>
        <v>2100</v>
      </c>
      <c r="I543" s="147"/>
      <c r="J543" s="147">
        <f t="shared" ref="J543:J552" si="435">+H543+I543</f>
        <v>2100</v>
      </c>
      <c r="K543" s="147">
        <v>1990</v>
      </c>
      <c r="L543" s="229">
        <v>2300</v>
      </c>
      <c r="M543" s="335">
        <f t="shared" ref="M543:M616" si="436">(L543-J543)/J543</f>
        <v>9.5238095238095233E-2</v>
      </c>
      <c r="N543" s="329">
        <f t="shared" si="410"/>
        <v>200</v>
      </c>
    </row>
    <row r="544" spans="1:14" s="142" customFormat="1" ht="14.1" customHeight="1">
      <c r="A544" s="165"/>
      <c r="B544" s="162"/>
      <c r="C544" s="146" t="s">
        <v>409</v>
      </c>
      <c r="D544" s="151">
        <v>1500</v>
      </c>
      <c r="E544" s="147">
        <v>1500</v>
      </c>
      <c r="F544" s="230">
        <v>1000</v>
      </c>
      <c r="G544" s="147"/>
      <c r="H544" s="147">
        <f t="shared" si="434"/>
        <v>1000</v>
      </c>
      <c r="I544" s="147"/>
      <c r="J544" s="147">
        <f t="shared" si="435"/>
        <v>1000</v>
      </c>
      <c r="K544" s="147">
        <v>1007</v>
      </c>
      <c r="L544" s="229">
        <v>800</v>
      </c>
      <c r="M544" s="335">
        <f t="shared" si="436"/>
        <v>-0.2</v>
      </c>
      <c r="N544" s="329">
        <f t="shared" si="410"/>
        <v>-200</v>
      </c>
    </row>
    <row r="545" spans="1:14" s="142" customFormat="1" ht="14.1" customHeight="1">
      <c r="A545" s="165"/>
      <c r="B545" s="162"/>
      <c r="C545" s="146" t="s">
        <v>410</v>
      </c>
      <c r="D545" s="151">
        <v>2400</v>
      </c>
      <c r="E545" s="147">
        <v>2400</v>
      </c>
      <c r="F545" s="230">
        <v>800</v>
      </c>
      <c r="G545" s="147"/>
      <c r="H545" s="147">
        <f t="shared" si="434"/>
        <v>800</v>
      </c>
      <c r="I545" s="147"/>
      <c r="J545" s="147">
        <f t="shared" si="435"/>
        <v>800</v>
      </c>
      <c r="K545" s="147">
        <v>693</v>
      </c>
      <c r="L545" s="229">
        <v>800</v>
      </c>
      <c r="M545" s="335">
        <f t="shared" si="436"/>
        <v>0</v>
      </c>
      <c r="N545" s="329">
        <f t="shared" si="410"/>
        <v>0</v>
      </c>
    </row>
    <row r="546" spans="1:14" s="142" customFormat="1" ht="14.1" customHeight="1">
      <c r="A546" s="165"/>
      <c r="B546" s="162"/>
      <c r="C546" s="146" t="s">
        <v>411</v>
      </c>
      <c r="D546" s="151">
        <v>1000</v>
      </c>
      <c r="E546" s="147">
        <v>1000</v>
      </c>
      <c r="F546" s="230">
        <v>250</v>
      </c>
      <c r="G546" s="147"/>
      <c r="H546" s="147">
        <f t="shared" si="434"/>
        <v>250</v>
      </c>
      <c r="I546" s="147"/>
      <c r="J546" s="147">
        <f t="shared" si="435"/>
        <v>250</v>
      </c>
      <c r="K546" s="147">
        <v>22</v>
      </c>
      <c r="L546" s="229">
        <v>300</v>
      </c>
      <c r="M546" s="335">
        <f t="shared" si="436"/>
        <v>0.2</v>
      </c>
      <c r="N546" s="329">
        <f t="shared" si="410"/>
        <v>50</v>
      </c>
    </row>
    <row r="547" spans="1:14" s="142" customFormat="1" ht="14.1" customHeight="1">
      <c r="A547" s="165"/>
      <c r="B547" s="162"/>
      <c r="C547" s="146" t="s">
        <v>412</v>
      </c>
      <c r="D547" s="151">
        <v>300</v>
      </c>
      <c r="E547" s="147">
        <v>300</v>
      </c>
      <c r="F547" s="230">
        <v>300</v>
      </c>
      <c r="G547" s="147"/>
      <c r="H547" s="147">
        <f t="shared" si="434"/>
        <v>300</v>
      </c>
      <c r="I547" s="147"/>
      <c r="J547" s="147">
        <f t="shared" si="435"/>
        <v>300</v>
      </c>
      <c r="K547" s="147"/>
      <c r="L547" s="229">
        <v>360</v>
      </c>
      <c r="M547" s="335">
        <f t="shared" si="436"/>
        <v>0.2</v>
      </c>
      <c r="N547" s="329">
        <f t="shared" si="410"/>
        <v>60</v>
      </c>
    </row>
    <row r="548" spans="1:14" s="142" customFormat="1" ht="14.1" customHeight="1">
      <c r="A548" s="165"/>
      <c r="B548" s="162"/>
      <c r="C548" s="146" t="s">
        <v>414</v>
      </c>
      <c r="D548" s="151">
        <v>2500</v>
      </c>
      <c r="E548" s="147">
        <v>0</v>
      </c>
      <c r="F548" s="230">
        <v>5000</v>
      </c>
      <c r="G548" s="147"/>
      <c r="H548" s="147">
        <f t="shared" si="434"/>
        <v>5000</v>
      </c>
      <c r="I548" s="147">
        <v>-5000</v>
      </c>
      <c r="J548" s="147">
        <f t="shared" si="435"/>
        <v>0</v>
      </c>
      <c r="K548" s="147"/>
      <c r="L548" s="315">
        <v>0</v>
      </c>
      <c r="M548" s="335" t="e">
        <f t="shared" si="436"/>
        <v>#DIV/0!</v>
      </c>
      <c r="N548" s="329">
        <f t="shared" si="410"/>
        <v>0</v>
      </c>
    </row>
    <row r="549" spans="1:14" s="142" customFormat="1" ht="14.1" customHeight="1">
      <c r="A549" s="165"/>
      <c r="B549" s="162"/>
      <c r="C549" s="146" t="s">
        <v>415</v>
      </c>
      <c r="D549" s="151">
        <v>500</v>
      </c>
      <c r="E549" s="147">
        <v>0</v>
      </c>
      <c r="F549" s="230">
        <v>0</v>
      </c>
      <c r="G549" s="147"/>
      <c r="H549" s="147">
        <f t="shared" si="434"/>
        <v>0</v>
      </c>
      <c r="I549" s="147"/>
      <c r="J549" s="147">
        <f t="shared" si="435"/>
        <v>0</v>
      </c>
      <c r="K549" s="147"/>
      <c r="L549" s="229"/>
      <c r="M549" s="335" t="e">
        <f t="shared" si="436"/>
        <v>#DIV/0!</v>
      </c>
      <c r="N549" s="329">
        <f t="shared" si="410"/>
        <v>0</v>
      </c>
    </row>
    <row r="550" spans="1:14" s="150" customFormat="1" ht="14.1" customHeight="1">
      <c r="A550" s="164"/>
      <c r="B550" s="162"/>
      <c r="C550" s="146" t="s">
        <v>443</v>
      </c>
      <c r="D550" s="151"/>
      <c r="E550" s="147">
        <v>0</v>
      </c>
      <c r="F550" s="230">
        <v>0</v>
      </c>
      <c r="G550" s="147"/>
      <c r="H550" s="147">
        <f t="shared" si="434"/>
        <v>0</v>
      </c>
      <c r="I550" s="147"/>
      <c r="J550" s="147">
        <f t="shared" si="435"/>
        <v>0</v>
      </c>
      <c r="K550" s="147"/>
      <c r="L550" s="229"/>
      <c r="M550" s="335" t="e">
        <f t="shared" si="436"/>
        <v>#DIV/0!</v>
      </c>
      <c r="N550" s="329">
        <f t="shared" si="410"/>
        <v>0</v>
      </c>
    </row>
    <row r="551" spans="1:14" s="142" customFormat="1" ht="14.1" customHeight="1">
      <c r="A551" s="165"/>
      <c r="B551" s="162"/>
      <c r="C551" s="146" t="s">
        <v>444</v>
      </c>
      <c r="D551" s="151"/>
      <c r="E551" s="147">
        <v>0</v>
      </c>
      <c r="F551" s="230">
        <v>300</v>
      </c>
      <c r="G551" s="147"/>
      <c r="H551" s="147">
        <f t="shared" si="434"/>
        <v>300</v>
      </c>
      <c r="I551" s="147"/>
      <c r="J551" s="147">
        <f t="shared" si="435"/>
        <v>300</v>
      </c>
      <c r="K551" s="147"/>
      <c r="L551" s="229"/>
      <c r="M551" s="335">
        <f t="shared" si="436"/>
        <v>-1</v>
      </c>
      <c r="N551" s="329">
        <f t="shared" si="410"/>
        <v>-300</v>
      </c>
    </row>
    <row r="552" spans="1:14" s="142" customFormat="1" ht="14.1" customHeight="1">
      <c r="A552" s="165"/>
      <c r="B552" s="162"/>
      <c r="C552" s="146" t="s">
        <v>445</v>
      </c>
      <c r="D552" s="151"/>
      <c r="E552" s="147"/>
      <c r="F552" s="230"/>
      <c r="G552" s="242">
        <v>5712</v>
      </c>
      <c r="H552" s="147">
        <f t="shared" si="434"/>
        <v>5712</v>
      </c>
      <c r="I552" s="147"/>
      <c r="J552" s="147">
        <f t="shared" si="435"/>
        <v>5712</v>
      </c>
      <c r="K552" s="147">
        <v>4154</v>
      </c>
      <c r="L552" s="229">
        <v>6340</v>
      </c>
      <c r="M552" s="335">
        <f t="shared" si="436"/>
        <v>0.10994397759103641</v>
      </c>
      <c r="N552" s="329">
        <f t="shared" si="410"/>
        <v>628</v>
      </c>
    </row>
    <row r="553" spans="1:14" s="142" customFormat="1" ht="14.1" customHeight="1">
      <c r="A553" s="165"/>
      <c r="B553" s="64">
        <v>5512</v>
      </c>
      <c r="C553" s="34" t="s">
        <v>344</v>
      </c>
      <c r="D553" s="151"/>
      <c r="E553" s="147">
        <v>1440</v>
      </c>
      <c r="F553" s="236">
        <v>1600</v>
      </c>
      <c r="G553" s="155"/>
      <c r="H553" s="17">
        <f t="shared" ref="H553:H559" si="437">+G553+F553</f>
        <v>1600</v>
      </c>
      <c r="I553" s="155"/>
      <c r="J553" s="17">
        <f t="shared" ref="J553:J559" si="438">+I553+H553</f>
        <v>1600</v>
      </c>
      <c r="K553" s="17">
        <v>1500</v>
      </c>
      <c r="L553" s="221">
        <v>1700</v>
      </c>
      <c r="M553" s="335">
        <f t="shared" si="436"/>
        <v>6.25E-2</v>
      </c>
      <c r="N553" s="329">
        <f t="shared" si="410"/>
        <v>100</v>
      </c>
    </row>
    <row r="554" spans="1:14" ht="14.1" customHeight="1">
      <c r="A554" s="67"/>
      <c r="B554" s="64">
        <v>5514</v>
      </c>
      <c r="C554" s="34" t="s">
        <v>221</v>
      </c>
      <c r="D554" s="52">
        <v>4000</v>
      </c>
      <c r="E554" s="17">
        <v>0</v>
      </c>
      <c r="F554" s="224">
        <v>0</v>
      </c>
      <c r="G554" s="17"/>
      <c r="H554" s="17">
        <f t="shared" si="437"/>
        <v>0</v>
      </c>
      <c r="I554" s="17"/>
      <c r="J554" s="17">
        <f t="shared" si="438"/>
        <v>0</v>
      </c>
      <c r="K554" s="17"/>
      <c r="L554" s="226"/>
      <c r="M554" s="335" t="e">
        <f t="shared" si="436"/>
        <v>#DIV/0!</v>
      </c>
      <c r="N554" s="329">
        <f t="shared" si="410"/>
        <v>0</v>
      </c>
    </row>
    <row r="555" spans="1:14" ht="14.1" customHeight="1">
      <c r="A555" s="67"/>
      <c r="B555" s="64">
        <v>5515</v>
      </c>
      <c r="C555" s="34" t="s">
        <v>257</v>
      </c>
      <c r="D555" s="52">
        <v>0</v>
      </c>
      <c r="E555" s="17">
        <v>399</v>
      </c>
      <c r="F555" s="224">
        <v>2000</v>
      </c>
      <c r="G555" s="17">
        <v>-1000</v>
      </c>
      <c r="H555" s="17">
        <f t="shared" si="437"/>
        <v>1000</v>
      </c>
      <c r="I555" s="17"/>
      <c r="J555" s="17">
        <f t="shared" si="438"/>
        <v>1000</v>
      </c>
      <c r="K555" s="17"/>
      <c r="L555" s="226">
        <v>1500</v>
      </c>
      <c r="M555" s="335">
        <f t="shared" si="436"/>
        <v>0.5</v>
      </c>
      <c r="N555" s="329">
        <f t="shared" si="410"/>
        <v>500</v>
      </c>
    </row>
    <row r="556" spans="1:14" ht="14.1" customHeight="1">
      <c r="A556" s="67"/>
      <c r="B556" s="33">
        <v>5521</v>
      </c>
      <c r="C556" s="34" t="s">
        <v>418</v>
      </c>
      <c r="D556" s="52"/>
      <c r="E556" s="17">
        <v>0</v>
      </c>
      <c r="F556" s="224">
        <v>250</v>
      </c>
      <c r="G556" s="17"/>
      <c r="H556" s="17">
        <f t="shared" si="437"/>
        <v>250</v>
      </c>
      <c r="I556" s="17"/>
      <c r="J556" s="17">
        <f t="shared" si="438"/>
        <v>250</v>
      </c>
      <c r="K556" s="17"/>
      <c r="L556" s="226">
        <v>0</v>
      </c>
      <c r="M556" s="335">
        <f t="shared" si="436"/>
        <v>-1</v>
      </c>
      <c r="N556" s="329">
        <f t="shared" si="410"/>
        <v>-250</v>
      </c>
    </row>
    <row r="557" spans="1:14" ht="14.1" customHeight="1">
      <c r="A557" s="67"/>
      <c r="B557" s="64">
        <v>5522</v>
      </c>
      <c r="C557" s="34" t="s">
        <v>262</v>
      </c>
      <c r="D557" s="52"/>
      <c r="E557" s="17">
        <v>0</v>
      </c>
      <c r="F557" s="224">
        <v>250</v>
      </c>
      <c r="G557" s="17"/>
      <c r="H557" s="17">
        <f t="shared" si="437"/>
        <v>250</v>
      </c>
      <c r="I557" s="17"/>
      <c r="J557" s="17">
        <f t="shared" si="438"/>
        <v>250</v>
      </c>
      <c r="K557" s="17"/>
      <c r="L557" s="226">
        <v>100</v>
      </c>
      <c r="M557" s="335">
        <f t="shared" si="436"/>
        <v>-0.6</v>
      </c>
      <c r="N557" s="329">
        <f t="shared" si="410"/>
        <v>-150</v>
      </c>
    </row>
    <row r="558" spans="1:14" ht="14.1" customHeight="1">
      <c r="A558" s="67"/>
      <c r="B558" s="64">
        <v>5525</v>
      </c>
      <c r="C558" s="34" t="s">
        <v>264</v>
      </c>
      <c r="D558" s="52"/>
      <c r="E558" s="17">
        <v>0</v>
      </c>
      <c r="F558" s="224">
        <v>450</v>
      </c>
      <c r="G558" s="17"/>
      <c r="H558" s="17">
        <f t="shared" si="437"/>
        <v>450</v>
      </c>
      <c r="I558" s="17"/>
      <c r="J558" s="17">
        <f t="shared" si="438"/>
        <v>450</v>
      </c>
      <c r="K558" s="17"/>
      <c r="L558" s="226">
        <v>0</v>
      </c>
      <c r="M558" s="335">
        <f t="shared" si="436"/>
        <v>-1</v>
      </c>
      <c r="N558" s="329">
        <f t="shared" si="410"/>
        <v>-450</v>
      </c>
    </row>
    <row r="559" spans="1:14" ht="14.1" customHeight="1">
      <c r="A559" s="67"/>
      <c r="B559" s="64">
        <v>5540</v>
      </c>
      <c r="C559" s="34" t="s">
        <v>348</v>
      </c>
      <c r="D559" s="52"/>
      <c r="E559" s="17">
        <v>0</v>
      </c>
      <c r="F559" s="224">
        <v>500</v>
      </c>
      <c r="G559" s="17"/>
      <c r="H559" s="17">
        <f t="shared" si="437"/>
        <v>500</v>
      </c>
      <c r="I559" s="17"/>
      <c r="J559" s="17">
        <f t="shared" si="438"/>
        <v>500</v>
      </c>
      <c r="K559" s="17"/>
      <c r="L559" s="226">
        <v>500</v>
      </c>
      <c r="M559" s="335">
        <f t="shared" si="436"/>
        <v>0</v>
      </c>
      <c r="N559" s="329">
        <f t="shared" si="410"/>
        <v>0</v>
      </c>
    </row>
    <row r="560" spans="1:14" s="7" customFormat="1" ht="14.1" customHeight="1">
      <c r="A560" s="56" t="s">
        <v>446</v>
      </c>
      <c r="B560" s="46"/>
      <c r="C560" s="47" t="s">
        <v>447</v>
      </c>
      <c r="D560" s="53">
        <v>47060</v>
      </c>
      <c r="E560" s="50">
        <v>103890</v>
      </c>
      <c r="F560" s="50">
        <f t="shared" ref="F560" si="439">+F561+F562</f>
        <v>136384</v>
      </c>
      <c r="G560" s="54">
        <f t="shared" ref="G560:H560" si="440">+G561+G562</f>
        <v>-29000</v>
      </c>
      <c r="H560" s="50">
        <f t="shared" si="440"/>
        <v>107384</v>
      </c>
      <c r="I560" s="54">
        <f t="shared" ref="I560:J560" si="441">+I561+I562</f>
        <v>-10500</v>
      </c>
      <c r="J560" s="50">
        <f t="shared" si="441"/>
        <v>96884</v>
      </c>
      <c r="K560" s="50">
        <f t="shared" ref="K560:L560" si="442">+K561+K562</f>
        <v>71609</v>
      </c>
      <c r="L560" s="50">
        <f t="shared" si="442"/>
        <v>102800</v>
      </c>
      <c r="M560" s="335">
        <f t="shared" si="436"/>
        <v>6.1062714173650966E-2</v>
      </c>
      <c r="N560" s="329">
        <f t="shared" si="410"/>
        <v>5916</v>
      </c>
    </row>
    <row r="561" spans="1:14" ht="14.1" customHeight="1">
      <c r="A561" s="84"/>
      <c r="B561" s="38">
        <v>50</v>
      </c>
      <c r="C561" s="61" t="s">
        <v>211</v>
      </c>
      <c r="D561" s="52">
        <v>18060</v>
      </c>
      <c r="E561" s="143">
        <v>56380</v>
      </c>
      <c r="F561" s="226">
        <v>60984</v>
      </c>
      <c r="G561" s="143"/>
      <c r="H561" s="143">
        <f t="shared" ref="H561" si="443">+G561+F561</f>
        <v>60984</v>
      </c>
      <c r="I561" s="143">
        <v>200</v>
      </c>
      <c r="J561" s="143">
        <f t="shared" ref="J561" si="444">+I561+H561</f>
        <v>61184</v>
      </c>
      <c r="K561" s="143">
        <v>46408</v>
      </c>
      <c r="L561" s="152">
        <v>63800</v>
      </c>
      <c r="M561" s="335">
        <f t="shared" si="436"/>
        <v>4.2756276150627617E-2</v>
      </c>
      <c r="N561" s="329">
        <f t="shared" si="410"/>
        <v>2616</v>
      </c>
    </row>
    <row r="562" spans="1:14" ht="14.1" customHeight="1">
      <c r="A562" s="84"/>
      <c r="B562" s="38">
        <v>55</v>
      </c>
      <c r="C562" s="61" t="s">
        <v>213</v>
      </c>
      <c r="D562" s="52">
        <v>29000</v>
      </c>
      <c r="E562" s="138">
        <v>47510</v>
      </c>
      <c r="F562" s="138">
        <f>+F563+F566+F578+F579+F582+F583+F584+F564+F565+F577+F581+F580</f>
        <v>75400</v>
      </c>
      <c r="G562" s="138">
        <f t="shared" ref="G562:H562" si="445">+G563+G566+G578+G579+G582+G583+G584+G564+G565+G577+G581+G580</f>
        <v>-29000</v>
      </c>
      <c r="H562" s="138">
        <f t="shared" si="445"/>
        <v>46400</v>
      </c>
      <c r="I562" s="138">
        <f t="shared" ref="I562:K562" si="446">+I563+I566+I578+I579+I582+I583+I584+I564+I565+I577+I581+I580</f>
        <v>-10700</v>
      </c>
      <c r="J562" s="138">
        <f t="shared" si="446"/>
        <v>35700</v>
      </c>
      <c r="K562" s="138">
        <f t="shared" si="446"/>
        <v>25201</v>
      </c>
      <c r="L562" s="138">
        <f>+L563+L566+L578+L579+L582+L583+L584+L564+L565+L577+L581+L580</f>
        <v>39000</v>
      </c>
      <c r="M562" s="335">
        <f t="shared" si="436"/>
        <v>9.2436974789915971E-2</v>
      </c>
      <c r="N562" s="329">
        <f t="shared" si="410"/>
        <v>3300</v>
      </c>
    </row>
    <row r="563" spans="1:14" ht="14.1" customHeight="1">
      <c r="A563" s="84"/>
      <c r="B563" s="33">
        <v>5500</v>
      </c>
      <c r="C563" s="34" t="s">
        <v>327</v>
      </c>
      <c r="D563" s="52"/>
      <c r="E563" s="17">
        <v>10</v>
      </c>
      <c r="F563" s="226">
        <v>100</v>
      </c>
      <c r="G563" s="17"/>
      <c r="H563" s="17">
        <f>+F563+G563</f>
        <v>100</v>
      </c>
      <c r="I563" s="17"/>
      <c r="J563" s="17">
        <f>+H563+I563</f>
        <v>100</v>
      </c>
      <c r="K563" s="17"/>
      <c r="L563" s="226">
        <v>100</v>
      </c>
      <c r="M563" s="335">
        <f t="shared" si="436"/>
        <v>0</v>
      </c>
      <c r="N563" s="329">
        <f t="shared" si="410"/>
        <v>0</v>
      </c>
    </row>
    <row r="564" spans="1:14" ht="14.1" customHeight="1">
      <c r="A564" s="84"/>
      <c r="B564" s="33">
        <v>5503</v>
      </c>
      <c r="C564" s="34" t="s">
        <v>216</v>
      </c>
      <c r="D564" s="52"/>
      <c r="E564" s="17">
        <v>0</v>
      </c>
      <c r="F564" s="226">
        <v>0</v>
      </c>
      <c r="G564" s="17"/>
      <c r="H564" s="17">
        <f t="shared" ref="H564:H565" si="447">+F564+G564</f>
        <v>0</v>
      </c>
      <c r="I564" s="17"/>
      <c r="J564" s="17">
        <f t="shared" ref="J564:J565" si="448">+H564+I564</f>
        <v>0</v>
      </c>
      <c r="K564" s="17"/>
      <c r="L564" s="226"/>
      <c r="M564" s="335" t="e">
        <f t="shared" si="436"/>
        <v>#DIV/0!</v>
      </c>
      <c r="N564" s="329">
        <f t="shared" si="410"/>
        <v>0</v>
      </c>
    </row>
    <row r="565" spans="1:14" ht="14.1" customHeight="1">
      <c r="A565" s="84"/>
      <c r="B565" s="64">
        <v>5504</v>
      </c>
      <c r="C565" s="34" t="s">
        <v>230</v>
      </c>
      <c r="D565" s="52"/>
      <c r="E565" s="17">
        <v>0</v>
      </c>
      <c r="F565" s="226">
        <v>150</v>
      </c>
      <c r="G565" s="17"/>
      <c r="H565" s="17">
        <f t="shared" si="447"/>
        <v>150</v>
      </c>
      <c r="I565" s="17"/>
      <c r="J565" s="17">
        <f t="shared" si="448"/>
        <v>150</v>
      </c>
      <c r="K565" s="17">
        <v>204</v>
      </c>
      <c r="L565" s="226">
        <v>200</v>
      </c>
      <c r="M565" s="335">
        <f t="shared" si="436"/>
        <v>0.33333333333333331</v>
      </c>
      <c r="N565" s="329">
        <f t="shared" si="410"/>
        <v>50</v>
      </c>
    </row>
    <row r="566" spans="1:14" ht="14.1" customHeight="1">
      <c r="A566" s="67"/>
      <c r="B566" s="64">
        <v>5511</v>
      </c>
      <c r="C566" s="34" t="s">
        <v>219</v>
      </c>
      <c r="D566" s="52">
        <v>16500</v>
      </c>
      <c r="E566" s="17">
        <v>27650</v>
      </c>
      <c r="F566" s="226">
        <f t="shared" ref="F566" si="449">SUM(F567:F576)</f>
        <v>53550</v>
      </c>
      <c r="G566" s="17">
        <f t="shared" ref="G566:H566" si="450">SUM(G567:G576)</f>
        <v>-29000</v>
      </c>
      <c r="H566" s="17">
        <f t="shared" si="450"/>
        <v>24550</v>
      </c>
      <c r="I566" s="17">
        <f t="shared" ref="I566:L566" si="451">SUM(I567:I576)</f>
        <v>-400</v>
      </c>
      <c r="J566" s="17">
        <f t="shared" si="451"/>
        <v>24150</v>
      </c>
      <c r="K566" s="17">
        <f t="shared" si="451"/>
        <v>14807</v>
      </c>
      <c r="L566" s="226">
        <f t="shared" si="451"/>
        <v>29300</v>
      </c>
      <c r="M566" s="335">
        <f t="shared" si="436"/>
        <v>0.21325051759834368</v>
      </c>
      <c r="N566" s="329">
        <f t="shared" si="410"/>
        <v>5150</v>
      </c>
    </row>
    <row r="567" spans="1:14" s="150" customFormat="1" ht="14.1" customHeight="1">
      <c r="A567" s="164"/>
      <c r="B567" s="162"/>
      <c r="C567" s="146" t="s">
        <v>407</v>
      </c>
      <c r="D567" s="151">
        <v>7500</v>
      </c>
      <c r="E567" s="147">
        <v>15000</v>
      </c>
      <c r="F567" s="229">
        <v>50000</v>
      </c>
      <c r="G567" s="147">
        <v>-30000</v>
      </c>
      <c r="H567" s="147">
        <f t="shared" ref="H567:H576" si="452">+G567+F567</f>
        <v>20000</v>
      </c>
      <c r="I567" s="147">
        <v>-200</v>
      </c>
      <c r="J567" s="147">
        <f t="shared" ref="J567:J584" si="453">+I567+H567</f>
        <v>19800</v>
      </c>
      <c r="K567" s="147">
        <v>12062</v>
      </c>
      <c r="L567" s="229">
        <v>25000</v>
      </c>
      <c r="M567" s="335">
        <f t="shared" si="436"/>
        <v>0.26262626262626265</v>
      </c>
      <c r="N567" s="329">
        <f t="shared" si="410"/>
        <v>5200</v>
      </c>
    </row>
    <row r="568" spans="1:14" s="150" customFormat="1" ht="14.1" customHeight="1">
      <c r="A568" s="164"/>
      <c r="B568" s="162"/>
      <c r="C568" s="146" t="s">
        <v>408</v>
      </c>
      <c r="D568" s="151">
        <v>1500</v>
      </c>
      <c r="E568" s="147">
        <v>0</v>
      </c>
      <c r="F568" s="229">
        <v>0</v>
      </c>
      <c r="G568" s="147"/>
      <c r="H568" s="147">
        <f t="shared" si="452"/>
        <v>0</v>
      </c>
      <c r="I568" s="147"/>
      <c r="J568" s="147">
        <f t="shared" si="453"/>
        <v>0</v>
      </c>
      <c r="K568" s="147"/>
      <c r="L568" s="229"/>
      <c r="M568" s="335" t="e">
        <f t="shared" si="436"/>
        <v>#DIV/0!</v>
      </c>
      <c r="N568" s="329">
        <f t="shared" si="410"/>
        <v>0</v>
      </c>
    </row>
    <row r="569" spans="1:14" s="150" customFormat="1" ht="14.1" customHeight="1">
      <c r="A569" s="164"/>
      <c r="B569" s="162"/>
      <c r="C569" s="146" t="s">
        <v>409</v>
      </c>
      <c r="D569" s="151">
        <v>1000</v>
      </c>
      <c r="E569" s="147">
        <v>0</v>
      </c>
      <c r="F569" s="229">
        <v>0</v>
      </c>
      <c r="G569" s="147"/>
      <c r="H569" s="147">
        <f t="shared" si="452"/>
        <v>0</v>
      </c>
      <c r="I569" s="147"/>
      <c r="J569" s="147">
        <f t="shared" si="453"/>
        <v>0</v>
      </c>
      <c r="K569" s="147"/>
      <c r="L569" s="229"/>
      <c r="M569" s="335" t="e">
        <f t="shared" si="436"/>
        <v>#DIV/0!</v>
      </c>
      <c r="N569" s="329">
        <f t="shared" si="410"/>
        <v>0</v>
      </c>
    </row>
    <row r="570" spans="1:14" s="150" customFormat="1" ht="14.1" customHeight="1">
      <c r="A570" s="164"/>
      <c r="B570" s="162"/>
      <c r="C570" s="146" t="s">
        <v>410</v>
      </c>
      <c r="D570" s="151">
        <v>2500</v>
      </c>
      <c r="E570" s="147">
        <v>3000</v>
      </c>
      <c r="F570" s="229">
        <v>2000</v>
      </c>
      <c r="G570" s="147"/>
      <c r="H570" s="147">
        <f t="shared" si="452"/>
        <v>2000</v>
      </c>
      <c r="I570" s="147">
        <v>-200</v>
      </c>
      <c r="J570" s="147">
        <f t="shared" si="453"/>
        <v>1800</v>
      </c>
      <c r="K570" s="147">
        <v>1529</v>
      </c>
      <c r="L570" s="229">
        <v>1800</v>
      </c>
      <c r="M570" s="335">
        <f t="shared" si="436"/>
        <v>0</v>
      </c>
      <c r="N570" s="329">
        <f t="shared" si="410"/>
        <v>0</v>
      </c>
    </row>
    <row r="571" spans="1:14" s="150" customFormat="1" ht="14.1" customHeight="1">
      <c r="A571" s="164"/>
      <c r="B571" s="162"/>
      <c r="C571" s="146" t="s">
        <v>411</v>
      </c>
      <c r="D571" s="151">
        <v>2500</v>
      </c>
      <c r="E571" s="147">
        <v>3000</v>
      </c>
      <c r="F571" s="229">
        <v>1000</v>
      </c>
      <c r="G571" s="147">
        <v>500</v>
      </c>
      <c r="H571" s="147">
        <f t="shared" si="452"/>
        <v>1500</v>
      </c>
      <c r="I571" s="147"/>
      <c r="J571" s="147">
        <f t="shared" si="453"/>
        <v>1500</v>
      </c>
      <c r="K571" s="147">
        <v>994</v>
      </c>
      <c r="L571" s="229">
        <v>1600</v>
      </c>
      <c r="M571" s="335">
        <f>(L571-J571)/J571</f>
        <v>6.6666666666666666E-2</v>
      </c>
      <c r="N571" s="329">
        <f t="shared" si="410"/>
        <v>100</v>
      </c>
    </row>
    <row r="572" spans="1:14" s="150" customFormat="1" ht="14.1" customHeight="1">
      <c r="A572" s="164"/>
      <c r="B572" s="162"/>
      <c r="C572" s="146" t="s">
        <v>412</v>
      </c>
      <c r="D572" s="151">
        <v>300</v>
      </c>
      <c r="E572" s="147">
        <v>200</v>
      </c>
      <c r="F572" s="229">
        <v>150</v>
      </c>
      <c r="G572" s="147">
        <v>100</v>
      </c>
      <c r="H572" s="147">
        <f t="shared" si="452"/>
        <v>250</v>
      </c>
      <c r="I572" s="147"/>
      <c r="J572" s="147">
        <f t="shared" si="453"/>
        <v>250</v>
      </c>
      <c r="K572" s="147">
        <v>222</v>
      </c>
      <c r="L572" s="229">
        <v>280</v>
      </c>
      <c r="M572" s="335">
        <f>(L572-J572)/J572</f>
        <v>0.12</v>
      </c>
      <c r="N572" s="329">
        <f t="shared" si="410"/>
        <v>30</v>
      </c>
    </row>
    <row r="573" spans="1:14" s="150" customFormat="1" ht="14.1" customHeight="1">
      <c r="A573" s="164"/>
      <c r="B573" s="162"/>
      <c r="C573" s="146" t="s">
        <v>414</v>
      </c>
      <c r="D573" s="151">
        <v>0</v>
      </c>
      <c r="E573" s="147">
        <v>5400</v>
      </c>
      <c r="F573" s="229">
        <v>200</v>
      </c>
      <c r="G573" s="147"/>
      <c r="H573" s="147">
        <f t="shared" si="452"/>
        <v>200</v>
      </c>
      <c r="I573" s="147"/>
      <c r="J573" s="147">
        <f t="shared" si="453"/>
        <v>200</v>
      </c>
      <c r="K573" s="147"/>
      <c r="L573" s="229"/>
      <c r="M573" s="335">
        <f t="shared" si="436"/>
        <v>-1</v>
      </c>
      <c r="N573" s="329">
        <f t="shared" si="410"/>
        <v>-200</v>
      </c>
    </row>
    <row r="574" spans="1:14" s="150" customFormat="1" ht="14.1" customHeight="1">
      <c r="A574" s="164"/>
      <c r="B574" s="162"/>
      <c r="C574" s="146" t="s">
        <v>415</v>
      </c>
      <c r="D574" s="151">
        <v>1200</v>
      </c>
      <c r="E574" s="147">
        <v>550</v>
      </c>
      <c r="F574" s="229">
        <v>0</v>
      </c>
      <c r="G574" s="147"/>
      <c r="H574" s="147">
        <f t="shared" si="452"/>
        <v>0</v>
      </c>
      <c r="I574" s="147"/>
      <c r="J574" s="147">
        <f t="shared" si="453"/>
        <v>0</v>
      </c>
      <c r="K574" s="147"/>
      <c r="L574" s="229"/>
      <c r="M574" s="335" t="e">
        <f t="shared" si="436"/>
        <v>#DIV/0!</v>
      </c>
      <c r="N574" s="329">
        <f t="shared" si="410"/>
        <v>0</v>
      </c>
    </row>
    <row r="575" spans="1:14" s="150" customFormat="1" ht="14.1" customHeight="1">
      <c r="A575" s="164"/>
      <c r="B575" s="162"/>
      <c r="C575" s="146" t="s">
        <v>448</v>
      </c>
      <c r="D575" s="151"/>
      <c r="E575" s="147">
        <v>0</v>
      </c>
      <c r="F575" s="229">
        <v>0</v>
      </c>
      <c r="G575" s="147"/>
      <c r="H575" s="147">
        <f t="shared" si="452"/>
        <v>0</v>
      </c>
      <c r="I575" s="147"/>
      <c r="J575" s="147">
        <f t="shared" si="453"/>
        <v>0</v>
      </c>
      <c r="K575" s="147"/>
      <c r="L575" s="229"/>
      <c r="M575" s="335" t="e">
        <f t="shared" si="436"/>
        <v>#DIV/0!</v>
      </c>
      <c r="N575" s="329">
        <f t="shared" si="410"/>
        <v>0</v>
      </c>
    </row>
    <row r="576" spans="1:14" s="150" customFormat="1" ht="14.1" customHeight="1">
      <c r="A576" s="164"/>
      <c r="B576" s="162"/>
      <c r="C576" s="146" t="s">
        <v>332</v>
      </c>
      <c r="D576" s="151"/>
      <c r="E576" s="147">
        <v>500</v>
      </c>
      <c r="F576" s="229">
        <v>200</v>
      </c>
      <c r="G576" s="147">
        <v>400</v>
      </c>
      <c r="H576" s="147">
        <f t="shared" si="452"/>
        <v>600</v>
      </c>
      <c r="I576" s="147"/>
      <c r="J576" s="147">
        <f t="shared" si="453"/>
        <v>600</v>
      </c>
      <c r="K576" s="147"/>
      <c r="L576" s="229">
        <v>620</v>
      </c>
      <c r="M576" s="335">
        <f t="shared" si="436"/>
        <v>3.3333333333333333E-2</v>
      </c>
      <c r="N576" s="329">
        <f t="shared" si="410"/>
        <v>20</v>
      </c>
    </row>
    <row r="577" spans="1:14" s="150" customFormat="1" ht="14.1" customHeight="1">
      <c r="A577" s="164"/>
      <c r="B577" s="64">
        <v>5512</v>
      </c>
      <c r="C577" s="34" t="s">
        <v>344</v>
      </c>
      <c r="D577" s="151"/>
      <c r="E577" s="147">
        <v>0</v>
      </c>
      <c r="F577" s="226">
        <v>200</v>
      </c>
      <c r="G577" s="17"/>
      <c r="H577" s="17">
        <f t="shared" ref="H577:H584" si="454">+G577+F577</f>
        <v>200</v>
      </c>
      <c r="I577" s="17">
        <v>800</v>
      </c>
      <c r="J577" s="17">
        <f t="shared" si="453"/>
        <v>1000</v>
      </c>
      <c r="K577" s="17">
        <v>840</v>
      </c>
      <c r="L577" s="226">
        <v>1000</v>
      </c>
      <c r="M577" s="335">
        <f t="shared" si="436"/>
        <v>0</v>
      </c>
      <c r="N577" s="329">
        <f t="shared" si="410"/>
        <v>0</v>
      </c>
    </row>
    <row r="578" spans="1:14" ht="14.1" customHeight="1">
      <c r="A578" s="67"/>
      <c r="B578" s="64">
        <v>5514</v>
      </c>
      <c r="C578" s="34" t="s">
        <v>221</v>
      </c>
      <c r="D578" s="52"/>
      <c r="E578" s="17">
        <v>150</v>
      </c>
      <c r="F578" s="226">
        <v>5000</v>
      </c>
      <c r="G578" s="17"/>
      <c r="H578" s="17">
        <f t="shared" si="454"/>
        <v>5000</v>
      </c>
      <c r="I578" s="17">
        <v>-4660</v>
      </c>
      <c r="J578" s="17">
        <f t="shared" si="453"/>
        <v>340</v>
      </c>
      <c r="K578" s="17">
        <v>140</v>
      </c>
      <c r="L578" s="226">
        <v>300</v>
      </c>
      <c r="M578" s="335">
        <f t="shared" si="436"/>
        <v>-0.11764705882352941</v>
      </c>
      <c r="N578" s="329">
        <f t="shared" si="410"/>
        <v>-40</v>
      </c>
    </row>
    <row r="579" spans="1:14" ht="14.1" customHeight="1">
      <c r="A579" s="67"/>
      <c r="B579" s="64">
        <v>5515</v>
      </c>
      <c r="C579" s="34" t="s">
        <v>257</v>
      </c>
      <c r="D579" s="52">
        <v>12500</v>
      </c>
      <c r="E579" s="17">
        <v>19000</v>
      </c>
      <c r="F579" s="226">
        <v>13000</v>
      </c>
      <c r="G579" s="17"/>
      <c r="H579" s="17">
        <f t="shared" si="454"/>
        <v>13000</v>
      </c>
      <c r="I579" s="17">
        <f>3860-10000</f>
        <v>-6140</v>
      </c>
      <c r="J579" s="17">
        <f t="shared" si="453"/>
        <v>6860</v>
      </c>
      <c r="K579" s="17">
        <v>8387</v>
      </c>
      <c r="L579" s="226">
        <v>5000</v>
      </c>
      <c r="M579" s="335">
        <f t="shared" si="436"/>
        <v>-0.27113702623906705</v>
      </c>
      <c r="N579" s="329">
        <f t="shared" si="410"/>
        <v>-1860</v>
      </c>
    </row>
    <row r="580" spans="1:14" ht="14.1" customHeight="1">
      <c r="A580" s="67"/>
      <c r="B580" s="33">
        <v>5516</v>
      </c>
      <c r="C580" s="43" t="s">
        <v>375</v>
      </c>
      <c r="D580" s="52"/>
      <c r="E580" s="17">
        <v>0</v>
      </c>
      <c r="F580" s="226">
        <v>2000</v>
      </c>
      <c r="G580" s="17"/>
      <c r="H580" s="17">
        <f t="shared" si="454"/>
        <v>2000</v>
      </c>
      <c r="I580" s="17"/>
      <c r="J580" s="17">
        <f t="shared" si="453"/>
        <v>2000</v>
      </c>
      <c r="K580" s="17">
        <v>78</v>
      </c>
      <c r="L580" s="226">
        <v>2200</v>
      </c>
      <c r="M580" s="335">
        <f t="shared" si="436"/>
        <v>0.1</v>
      </c>
      <c r="N580" s="329">
        <f t="shared" si="410"/>
        <v>200</v>
      </c>
    </row>
    <row r="581" spans="1:14" ht="14.1" customHeight="1">
      <c r="A581" s="67"/>
      <c r="B581" s="33">
        <v>5521</v>
      </c>
      <c r="C581" s="34" t="s">
        <v>418</v>
      </c>
      <c r="D581" s="52"/>
      <c r="E581" s="17">
        <v>0</v>
      </c>
      <c r="F581" s="226">
        <v>300</v>
      </c>
      <c r="G581" s="17"/>
      <c r="H581" s="17">
        <f t="shared" si="454"/>
        <v>300</v>
      </c>
      <c r="I581" s="17">
        <v>-300</v>
      </c>
      <c r="J581" s="17">
        <f t="shared" si="453"/>
        <v>0</v>
      </c>
      <c r="K581" s="17"/>
      <c r="L581" s="226"/>
      <c r="M581" s="335" t="e">
        <f t="shared" si="436"/>
        <v>#DIV/0!</v>
      </c>
      <c r="N581" s="329">
        <f t="shared" si="410"/>
        <v>0</v>
      </c>
    </row>
    <row r="582" spans="1:14" ht="14.1" customHeight="1">
      <c r="A582" s="67"/>
      <c r="B582" s="64">
        <v>5522</v>
      </c>
      <c r="C582" s="34" t="s">
        <v>262</v>
      </c>
      <c r="D582" s="52"/>
      <c r="E582" s="17">
        <v>150</v>
      </c>
      <c r="F582" s="226">
        <v>150</v>
      </c>
      <c r="G582" s="17"/>
      <c r="H582" s="17">
        <f t="shared" si="454"/>
        <v>150</v>
      </c>
      <c r="I582" s="17"/>
      <c r="J582" s="17">
        <f t="shared" si="453"/>
        <v>150</v>
      </c>
      <c r="K582" s="17"/>
      <c r="L582" s="226">
        <v>300</v>
      </c>
      <c r="M582" s="335">
        <f t="shared" si="436"/>
        <v>1</v>
      </c>
      <c r="N582" s="329">
        <f t="shared" ref="N582:N645" si="455">L582-J582</f>
        <v>150</v>
      </c>
    </row>
    <row r="583" spans="1:14" ht="14.1" customHeight="1">
      <c r="A583" s="67"/>
      <c r="B583" s="64">
        <v>5525</v>
      </c>
      <c r="C583" s="34" t="s">
        <v>264</v>
      </c>
      <c r="D583" s="52"/>
      <c r="E583" s="17">
        <v>450</v>
      </c>
      <c r="F583" s="226">
        <v>450</v>
      </c>
      <c r="G583" s="17"/>
      <c r="H583" s="17">
        <f t="shared" si="454"/>
        <v>450</v>
      </c>
      <c r="I583" s="17"/>
      <c r="J583" s="17">
        <f t="shared" si="453"/>
        <v>450</v>
      </c>
      <c r="K583" s="17"/>
      <c r="L583" s="226">
        <v>0</v>
      </c>
      <c r="M583" s="335">
        <f t="shared" si="436"/>
        <v>-1</v>
      </c>
      <c r="N583" s="329">
        <f t="shared" si="455"/>
        <v>-450</v>
      </c>
    </row>
    <row r="584" spans="1:14" ht="14.1" customHeight="1">
      <c r="A584" s="67"/>
      <c r="B584" s="64">
        <v>5540</v>
      </c>
      <c r="C584" s="34" t="s">
        <v>348</v>
      </c>
      <c r="D584" s="52"/>
      <c r="E584" s="17">
        <v>100</v>
      </c>
      <c r="F584" s="226">
        <v>500</v>
      </c>
      <c r="G584" s="17"/>
      <c r="H584" s="17">
        <f t="shared" si="454"/>
        <v>500</v>
      </c>
      <c r="I584" s="17"/>
      <c r="J584" s="17">
        <f t="shared" si="453"/>
        <v>500</v>
      </c>
      <c r="K584" s="17">
        <v>745</v>
      </c>
      <c r="L584" s="226">
        <v>600</v>
      </c>
      <c r="M584" s="335">
        <f t="shared" si="436"/>
        <v>0.2</v>
      </c>
      <c r="N584" s="329">
        <f t="shared" si="455"/>
        <v>100</v>
      </c>
    </row>
    <row r="585" spans="1:14" ht="14.1" customHeight="1">
      <c r="A585" s="56" t="s">
        <v>449</v>
      </c>
      <c r="B585" s="308" t="s">
        <v>319</v>
      </c>
      <c r="C585" s="47" t="s">
        <v>450</v>
      </c>
      <c r="D585" s="53"/>
      <c r="E585" s="50"/>
      <c r="F585" s="50"/>
      <c r="G585" s="50"/>
      <c r="H585" s="50"/>
      <c r="I585" s="50"/>
      <c r="J585" s="50"/>
      <c r="K585" s="50"/>
      <c r="L585" s="50">
        <f>+L586+L587</f>
        <v>20000</v>
      </c>
      <c r="M585" s="335" t="e">
        <f t="shared" si="436"/>
        <v>#DIV/0!</v>
      </c>
      <c r="N585" s="329">
        <f t="shared" si="455"/>
        <v>20000</v>
      </c>
    </row>
    <row r="586" spans="1:14" ht="14.1" customHeight="1">
      <c r="A586" s="69"/>
      <c r="B586" s="60">
        <v>50</v>
      </c>
      <c r="C586" s="61" t="s">
        <v>211</v>
      </c>
      <c r="D586" s="52"/>
      <c r="E586" s="143"/>
      <c r="F586" s="224"/>
      <c r="G586" s="143"/>
      <c r="H586" s="143"/>
      <c r="I586" s="143"/>
      <c r="J586" s="143"/>
      <c r="K586" s="143"/>
      <c r="L586" s="152"/>
      <c r="M586" s="335" t="e">
        <f t="shared" si="436"/>
        <v>#DIV/0!</v>
      </c>
      <c r="N586" s="329">
        <f t="shared" si="455"/>
        <v>0</v>
      </c>
    </row>
    <row r="587" spans="1:14" ht="14.1" customHeight="1">
      <c r="A587" s="69"/>
      <c r="B587" s="60">
        <v>55</v>
      </c>
      <c r="C587" s="61" t="s">
        <v>213</v>
      </c>
      <c r="D587" s="52"/>
      <c r="E587" s="138"/>
      <c r="F587" s="138">
        <f>SUM(F588:F594)</f>
        <v>0</v>
      </c>
      <c r="G587" s="138">
        <f>SUM(G588:G594)</f>
        <v>0</v>
      </c>
      <c r="H587" s="138">
        <f>SUM(H588:H594)</f>
        <v>0</v>
      </c>
      <c r="I587" s="138">
        <f>SUM(I588:I594)</f>
        <v>0</v>
      </c>
      <c r="J587" s="138">
        <f>SUM(J588:J594)</f>
        <v>0</v>
      </c>
      <c r="K587" s="138"/>
      <c r="L587" s="138">
        <f>SUM(L588:L594)</f>
        <v>20000</v>
      </c>
      <c r="M587" s="335" t="e">
        <f t="shared" si="436"/>
        <v>#DIV/0!</v>
      </c>
      <c r="N587" s="329">
        <f t="shared" si="455"/>
        <v>20000</v>
      </c>
    </row>
    <row r="588" spans="1:14" ht="14.1" customHeight="1">
      <c r="A588" s="69"/>
      <c r="B588" s="64">
        <v>5500</v>
      </c>
      <c r="C588" s="40" t="s">
        <v>429</v>
      </c>
      <c r="D588" s="52"/>
      <c r="E588" s="17"/>
      <c r="F588" s="224"/>
      <c r="G588" s="17"/>
      <c r="H588" s="17"/>
      <c r="I588" s="17"/>
      <c r="J588" s="17"/>
      <c r="K588" s="17"/>
      <c r="L588" s="226"/>
      <c r="M588" s="335" t="e">
        <f t="shared" si="436"/>
        <v>#DIV/0!</v>
      </c>
      <c r="N588" s="329">
        <f t="shared" si="455"/>
        <v>0</v>
      </c>
    </row>
    <row r="589" spans="1:14" ht="14.1" customHeight="1">
      <c r="A589" s="69"/>
      <c r="B589" s="33">
        <v>5503</v>
      </c>
      <c r="C589" s="34" t="s">
        <v>216</v>
      </c>
      <c r="D589" s="52"/>
      <c r="E589" s="17"/>
      <c r="F589" s="224"/>
      <c r="G589" s="17"/>
      <c r="H589" s="17"/>
      <c r="I589" s="17"/>
      <c r="J589" s="17"/>
      <c r="K589" s="17"/>
      <c r="L589" s="226"/>
      <c r="M589" s="335" t="e">
        <f t="shared" si="436"/>
        <v>#DIV/0!</v>
      </c>
      <c r="N589" s="329">
        <f t="shared" si="455"/>
        <v>0</v>
      </c>
    </row>
    <row r="590" spans="1:14" ht="14.1" customHeight="1">
      <c r="A590" s="69"/>
      <c r="B590" s="64">
        <v>5504</v>
      </c>
      <c r="C590" s="34" t="s">
        <v>230</v>
      </c>
      <c r="D590" s="52"/>
      <c r="E590" s="17"/>
      <c r="F590" s="224"/>
      <c r="G590" s="17"/>
      <c r="H590" s="17"/>
      <c r="I590" s="17"/>
      <c r="J590" s="17"/>
      <c r="K590" s="17"/>
      <c r="L590" s="226"/>
      <c r="M590" s="335" t="e">
        <f t="shared" si="436"/>
        <v>#DIV/0!</v>
      </c>
      <c r="N590" s="329">
        <f t="shared" si="455"/>
        <v>0</v>
      </c>
    </row>
    <row r="591" spans="1:14" ht="14.1" customHeight="1">
      <c r="A591" s="67"/>
      <c r="B591" s="64">
        <v>5512</v>
      </c>
      <c r="C591" s="34" t="s">
        <v>344</v>
      </c>
      <c r="D591" s="52"/>
      <c r="E591" s="17"/>
      <c r="F591" s="224"/>
      <c r="G591" s="17"/>
      <c r="H591" s="17"/>
      <c r="I591" s="17"/>
      <c r="J591" s="17"/>
      <c r="K591" s="17"/>
      <c r="L591" s="226">
        <v>10000</v>
      </c>
      <c r="M591" s="335" t="e">
        <f t="shared" si="436"/>
        <v>#DIV/0!</v>
      </c>
      <c r="N591" s="329">
        <f t="shared" si="455"/>
        <v>10000</v>
      </c>
    </row>
    <row r="592" spans="1:14" ht="14.1" customHeight="1">
      <c r="A592" s="67"/>
      <c r="B592" s="64">
        <v>5513</v>
      </c>
      <c r="C592" s="40" t="s">
        <v>438</v>
      </c>
      <c r="D592" s="52"/>
      <c r="E592" s="17"/>
      <c r="F592" s="224"/>
      <c r="G592" s="17"/>
      <c r="H592" s="17"/>
      <c r="I592" s="17"/>
      <c r="J592" s="17"/>
      <c r="K592" s="17"/>
      <c r="L592" s="226"/>
      <c r="M592" s="335" t="e">
        <f t="shared" si="436"/>
        <v>#DIV/0!</v>
      </c>
      <c r="N592" s="329">
        <f t="shared" si="455"/>
        <v>0</v>
      </c>
    </row>
    <row r="593" spans="1:14" ht="14.1" customHeight="1">
      <c r="A593" s="67"/>
      <c r="B593" s="64">
        <v>5515</v>
      </c>
      <c r="C593" s="34" t="s">
        <v>257</v>
      </c>
      <c r="D593" s="52"/>
      <c r="E593" s="17"/>
      <c r="F593" s="224"/>
      <c r="G593" s="17"/>
      <c r="H593" s="17"/>
      <c r="I593" s="17"/>
      <c r="J593" s="17"/>
      <c r="K593" s="17"/>
      <c r="L593" s="226">
        <v>10000</v>
      </c>
      <c r="M593" s="335" t="e">
        <f t="shared" si="436"/>
        <v>#DIV/0!</v>
      </c>
      <c r="N593" s="329">
        <f t="shared" si="455"/>
        <v>10000</v>
      </c>
    </row>
    <row r="594" spans="1:14" ht="14.1" customHeight="1">
      <c r="A594" s="67"/>
      <c r="B594" s="64">
        <v>5540</v>
      </c>
      <c r="C594" s="34" t="s">
        <v>348</v>
      </c>
      <c r="D594" s="52"/>
      <c r="E594" s="95"/>
      <c r="F594" s="224"/>
      <c r="G594" s="95"/>
      <c r="H594" s="95"/>
      <c r="I594" s="95"/>
      <c r="J594" s="95"/>
      <c r="K594" s="95"/>
      <c r="L594" s="224"/>
      <c r="M594" s="335"/>
      <c r="N594" s="329">
        <f t="shared" si="455"/>
        <v>0</v>
      </c>
    </row>
    <row r="595" spans="1:14" ht="14.1" customHeight="1">
      <c r="A595" s="45" t="s">
        <v>451</v>
      </c>
      <c r="B595" s="46"/>
      <c r="C595" s="47" t="s">
        <v>452</v>
      </c>
      <c r="D595" s="53">
        <v>28462</v>
      </c>
      <c r="E595" s="50">
        <v>27760</v>
      </c>
      <c r="F595" s="50">
        <f t="shared" ref="F595" si="456">+F596+F597</f>
        <v>31227</v>
      </c>
      <c r="G595" s="50">
        <f t="shared" ref="G595:H595" si="457">+G596+G597</f>
        <v>0</v>
      </c>
      <c r="H595" s="50">
        <f t="shared" si="457"/>
        <v>31227</v>
      </c>
      <c r="I595" s="50">
        <f t="shared" ref="I595:J595" si="458">+I596+I597</f>
        <v>-100</v>
      </c>
      <c r="J595" s="50">
        <f t="shared" si="458"/>
        <v>31127</v>
      </c>
      <c r="K595" s="50">
        <f t="shared" ref="K595:L595" si="459">+K596+K597</f>
        <v>36345.699999999997</v>
      </c>
      <c r="L595" s="50">
        <f t="shared" si="459"/>
        <v>30300</v>
      </c>
      <c r="M595" s="335">
        <f t="shared" si="436"/>
        <v>-2.6568573906897548E-2</v>
      </c>
      <c r="N595" s="329">
        <f t="shared" si="455"/>
        <v>-827</v>
      </c>
    </row>
    <row r="596" spans="1:14" ht="14.1" customHeight="1">
      <c r="A596" s="32"/>
      <c r="B596" s="38">
        <v>50</v>
      </c>
      <c r="C596" s="39" t="s">
        <v>211</v>
      </c>
      <c r="D596" s="52">
        <v>17662</v>
      </c>
      <c r="E596" s="143">
        <v>18545</v>
      </c>
      <c r="F596" s="226">
        <v>20407</v>
      </c>
      <c r="G596" s="143"/>
      <c r="H596" s="143">
        <f t="shared" ref="H596" si="460">+G596+F596</f>
        <v>20407</v>
      </c>
      <c r="I596" s="143"/>
      <c r="J596" s="143">
        <f t="shared" ref="J596" si="461">+I596+H596</f>
        <v>20407</v>
      </c>
      <c r="K596" s="143">
        <v>15301</v>
      </c>
      <c r="L596" s="152">
        <v>21000</v>
      </c>
      <c r="M596" s="338">
        <f t="shared" si="436"/>
        <v>2.9058656343411576E-2</v>
      </c>
      <c r="N596" s="329">
        <f t="shared" si="455"/>
        <v>593</v>
      </c>
    </row>
    <row r="597" spans="1:14" ht="14.1" customHeight="1">
      <c r="A597" s="32"/>
      <c r="B597" s="38">
        <v>55</v>
      </c>
      <c r="C597" s="39" t="s">
        <v>213</v>
      </c>
      <c r="D597" s="52">
        <v>10800</v>
      </c>
      <c r="E597" s="138">
        <v>9215</v>
      </c>
      <c r="F597" s="137">
        <f>+F598+F599+F600+F601+F604+F605+F606+F607+F609+F610</f>
        <v>10820</v>
      </c>
      <c r="G597" s="138">
        <f>+G598+G599+G600+G601+G604+G605+G606+G607+G609+G610</f>
        <v>0</v>
      </c>
      <c r="H597" s="138">
        <f>+H598+H599+H600+H601+H604+H605+H606+H607+H609+H610</f>
        <v>10820</v>
      </c>
      <c r="I597" s="138">
        <f>+I598+I599+I600+I601+I604+I605+I606+I607+I609+I610</f>
        <v>-100</v>
      </c>
      <c r="J597" s="138">
        <f>+J598+J599+J600+J601+J604+J605+J606+J607+J609+J610+J608</f>
        <v>10720</v>
      </c>
      <c r="K597" s="138">
        <f>+K598+K599+K600+K601+K604+K605+K606+K607+K609+K610+K608</f>
        <v>21044.7</v>
      </c>
      <c r="L597" s="138">
        <f t="shared" ref="L597" si="462">+L598+L599+L600+L601+L604+L605+L606+L607+L609+L610+L608</f>
        <v>9300</v>
      </c>
      <c r="M597" s="335">
        <f t="shared" si="436"/>
        <v>-0.13246268656716417</v>
      </c>
      <c r="N597" s="329">
        <f t="shared" si="455"/>
        <v>-1420</v>
      </c>
    </row>
    <row r="598" spans="1:14" ht="14.1" customHeight="1">
      <c r="A598" s="32"/>
      <c r="B598" s="33">
        <v>5500</v>
      </c>
      <c r="C598" s="34" t="s">
        <v>327</v>
      </c>
      <c r="D598" s="52">
        <v>240</v>
      </c>
      <c r="E598" s="95">
        <v>600</v>
      </c>
      <c r="F598" s="224">
        <v>970</v>
      </c>
      <c r="G598" s="17"/>
      <c r="H598" s="95">
        <f t="shared" ref="H598:H610" si="463">+G598+F598</f>
        <v>970</v>
      </c>
      <c r="I598" s="17">
        <v>250</v>
      </c>
      <c r="J598" s="95">
        <f t="shared" ref="J598:J600" si="464">+I598+H598</f>
        <v>1220</v>
      </c>
      <c r="K598" s="17">
        <v>502</v>
      </c>
      <c r="L598" s="226">
        <v>1000</v>
      </c>
      <c r="M598" s="335">
        <f t="shared" si="436"/>
        <v>-0.18032786885245902</v>
      </c>
      <c r="N598" s="329">
        <f t="shared" si="455"/>
        <v>-220</v>
      </c>
    </row>
    <row r="599" spans="1:14" ht="14.1" customHeight="1">
      <c r="A599" s="32"/>
      <c r="B599" s="33">
        <v>5503</v>
      </c>
      <c r="C599" s="34" t="s">
        <v>216</v>
      </c>
      <c r="D599" s="52">
        <v>0</v>
      </c>
      <c r="E599" s="95">
        <v>0</v>
      </c>
      <c r="F599" s="224">
        <v>0</v>
      </c>
      <c r="G599" s="17"/>
      <c r="H599" s="95">
        <f t="shared" si="463"/>
        <v>0</v>
      </c>
      <c r="I599" s="17">
        <v>224</v>
      </c>
      <c r="J599" s="95">
        <f t="shared" si="464"/>
        <v>224</v>
      </c>
      <c r="K599" s="17">
        <v>223.7</v>
      </c>
      <c r="L599" s="226"/>
      <c r="M599" s="335">
        <f t="shared" si="436"/>
        <v>-1</v>
      </c>
      <c r="N599" s="329">
        <f t="shared" si="455"/>
        <v>-224</v>
      </c>
    </row>
    <row r="600" spans="1:14" ht="14.1" customHeight="1">
      <c r="A600" s="32"/>
      <c r="B600" s="33">
        <v>5504</v>
      </c>
      <c r="C600" s="34" t="s">
        <v>230</v>
      </c>
      <c r="D600" s="52">
        <v>800</v>
      </c>
      <c r="E600" s="95">
        <v>300</v>
      </c>
      <c r="F600" s="224">
        <v>300</v>
      </c>
      <c r="G600" s="17"/>
      <c r="H600" s="95">
        <f t="shared" si="463"/>
        <v>300</v>
      </c>
      <c r="I600" s="17">
        <v>-224</v>
      </c>
      <c r="J600" s="95">
        <f t="shared" si="464"/>
        <v>76</v>
      </c>
      <c r="K600" s="17">
        <v>50</v>
      </c>
      <c r="L600" s="226">
        <v>300</v>
      </c>
      <c r="M600" s="335">
        <f t="shared" si="436"/>
        <v>2.9473684210526314</v>
      </c>
      <c r="N600" s="329">
        <f t="shared" si="455"/>
        <v>224</v>
      </c>
    </row>
    <row r="601" spans="1:14" ht="14.1" customHeight="1">
      <c r="A601" s="32"/>
      <c r="B601" s="33">
        <v>5511</v>
      </c>
      <c r="C601" s="34" t="s">
        <v>453</v>
      </c>
      <c r="D601" s="52">
        <v>60</v>
      </c>
      <c r="E601" s="95">
        <v>200</v>
      </c>
      <c r="F601" s="224">
        <f t="shared" ref="F601" si="465">SUM(F602:F603)</f>
        <v>400</v>
      </c>
      <c r="G601" s="95">
        <f t="shared" ref="G601:H601" si="466">SUM(G602:G603)</f>
        <v>0</v>
      </c>
      <c r="H601" s="95">
        <f t="shared" si="466"/>
        <v>400</v>
      </c>
      <c r="I601" s="95">
        <f t="shared" ref="I601:L601" si="467">SUM(I602:I603)</f>
        <v>-300</v>
      </c>
      <c r="J601" s="95">
        <f t="shared" si="467"/>
        <v>100</v>
      </c>
      <c r="K601" s="17">
        <f t="shared" si="467"/>
        <v>514</v>
      </c>
      <c r="L601" s="226">
        <f t="shared" si="467"/>
        <v>100</v>
      </c>
      <c r="M601" s="335">
        <f t="shared" si="436"/>
        <v>0</v>
      </c>
      <c r="N601" s="329">
        <f t="shared" si="455"/>
        <v>0</v>
      </c>
    </row>
    <row r="602" spans="1:14" s="142" customFormat="1" ht="14.1" customHeight="1">
      <c r="A602" s="144"/>
      <c r="B602" s="145"/>
      <c r="C602" s="156" t="s">
        <v>454</v>
      </c>
      <c r="D602" s="154"/>
      <c r="E602" s="149">
        <v>200</v>
      </c>
      <c r="F602" s="230">
        <v>400</v>
      </c>
      <c r="G602" s="147"/>
      <c r="H602" s="149">
        <f>+F602+G602</f>
        <v>400</v>
      </c>
      <c r="I602" s="147">
        <v>-300</v>
      </c>
      <c r="J602" s="149">
        <f>+H602+I602</f>
        <v>100</v>
      </c>
      <c r="K602" s="147">
        <v>106</v>
      </c>
      <c r="L602" s="229">
        <v>100</v>
      </c>
      <c r="M602" s="335">
        <f t="shared" si="436"/>
        <v>0</v>
      </c>
      <c r="N602" s="329">
        <f t="shared" si="455"/>
        <v>0</v>
      </c>
    </row>
    <row r="603" spans="1:14" s="142" customFormat="1" ht="14.1" customHeight="1">
      <c r="A603" s="144"/>
      <c r="B603" s="145"/>
      <c r="C603" s="156" t="s">
        <v>455</v>
      </c>
      <c r="D603" s="154"/>
      <c r="E603" s="149">
        <v>0</v>
      </c>
      <c r="F603" s="230">
        <v>0</v>
      </c>
      <c r="G603" s="147"/>
      <c r="H603" s="149">
        <f>+F603+G603</f>
        <v>0</v>
      </c>
      <c r="I603" s="147"/>
      <c r="J603" s="149">
        <f>+H603+I603</f>
        <v>0</v>
      </c>
      <c r="K603" s="147">
        <v>408</v>
      </c>
      <c r="L603" s="229"/>
      <c r="M603" s="335" t="e">
        <f t="shared" si="436"/>
        <v>#DIV/0!</v>
      </c>
      <c r="N603" s="329">
        <f t="shared" si="455"/>
        <v>0</v>
      </c>
    </row>
    <row r="604" spans="1:14" ht="14.1" customHeight="1">
      <c r="A604" s="32"/>
      <c r="B604" s="33">
        <v>5513</v>
      </c>
      <c r="C604" s="34" t="s">
        <v>254</v>
      </c>
      <c r="D604" s="52">
        <v>1200</v>
      </c>
      <c r="E604" s="95">
        <v>1000</v>
      </c>
      <c r="F604" s="224">
        <v>1200</v>
      </c>
      <c r="G604" s="17"/>
      <c r="H604" s="95">
        <f t="shared" si="463"/>
        <v>1200</v>
      </c>
      <c r="I604" s="17"/>
      <c r="J604" s="95">
        <f t="shared" ref="J604:J610" si="468">+I604+H604</f>
        <v>1200</v>
      </c>
      <c r="K604" s="17">
        <v>1361</v>
      </c>
      <c r="L604" s="226">
        <v>800</v>
      </c>
      <c r="M604" s="335">
        <f t="shared" si="436"/>
        <v>-0.33333333333333331</v>
      </c>
      <c r="N604" s="329">
        <f t="shared" si="455"/>
        <v>-400</v>
      </c>
    </row>
    <row r="605" spans="1:14" ht="14.1" customHeight="1">
      <c r="A605" s="32"/>
      <c r="B605" s="33">
        <v>5514</v>
      </c>
      <c r="C605" s="34" t="s">
        <v>221</v>
      </c>
      <c r="D605" s="52">
        <v>760</v>
      </c>
      <c r="E605" s="95">
        <v>460</v>
      </c>
      <c r="F605" s="224">
        <f>500+250</f>
        <v>750</v>
      </c>
      <c r="G605" s="17"/>
      <c r="H605" s="95">
        <f t="shared" si="463"/>
        <v>750</v>
      </c>
      <c r="I605" s="17">
        <v>-750</v>
      </c>
      <c r="J605" s="95">
        <f t="shared" si="468"/>
        <v>0</v>
      </c>
      <c r="K605" s="17"/>
      <c r="L605" s="226">
        <v>0</v>
      </c>
      <c r="M605" s="335" t="e">
        <f t="shared" si="436"/>
        <v>#DIV/0!</v>
      </c>
      <c r="N605" s="329">
        <f t="shared" si="455"/>
        <v>0</v>
      </c>
    </row>
    <row r="606" spans="1:14" ht="14.1" customHeight="1">
      <c r="A606" s="32"/>
      <c r="B606" s="33">
        <v>5515</v>
      </c>
      <c r="C606" s="34" t="s">
        <v>257</v>
      </c>
      <c r="D606" s="52">
        <v>1240</v>
      </c>
      <c r="E606" s="95">
        <v>1200</v>
      </c>
      <c r="F606" s="224">
        <v>2000</v>
      </c>
      <c r="G606" s="17"/>
      <c r="H606" s="95">
        <f t="shared" si="463"/>
        <v>2000</v>
      </c>
      <c r="I606" s="321">
        <v>1200</v>
      </c>
      <c r="J606" s="95">
        <f t="shared" si="468"/>
        <v>3200</v>
      </c>
      <c r="K606" s="17">
        <v>3308</v>
      </c>
      <c r="L606" s="226">
        <v>1000</v>
      </c>
      <c r="M606" s="335">
        <f t="shared" si="436"/>
        <v>-0.6875</v>
      </c>
      <c r="N606" s="329">
        <f t="shared" si="455"/>
        <v>-2200</v>
      </c>
    </row>
    <row r="607" spans="1:14" ht="14.1" customHeight="1">
      <c r="A607" s="32"/>
      <c r="B607" s="33">
        <v>5522</v>
      </c>
      <c r="C607" s="34" t="s">
        <v>262</v>
      </c>
      <c r="D607" s="52"/>
      <c r="E607" s="95">
        <v>0</v>
      </c>
      <c r="F607" s="224">
        <v>200</v>
      </c>
      <c r="G607" s="17">
        <v>-100</v>
      </c>
      <c r="H607" s="95">
        <f t="shared" si="463"/>
        <v>100</v>
      </c>
      <c r="I607" s="17"/>
      <c r="J607" s="95">
        <f t="shared" si="468"/>
        <v>100</v>
      </c>
      <c r="K607" s="17"/>
      <c r="L607" s="226">
        <v>100</v>
      </c>
      <c r="M607" s="335">
        <f t="shared" si="436"/>
        <v>0</v>
      </c>
      <c r="N607" s="329">
        <f t="shared" si="455"/>
        <v>0</v>
      </c>
    </row>
    <row r="608" spans="1:14" ht="14.1" customHeight="1">
      <c r="A608" s="32"/>
      <c r="B608" s="33">
        <v>5524</v>
      </c>
      <c r="C608" s="34" t="s">
        <v>456</v>
      </c>
      <c r="D608" s="52"/>
      <c r="E608" s="95"/>
      <c r="F608" s="224"/>
      <c r="G608" s="17"/>
      <c r="H608" s="95"/>
      <c r="I608" s="17"/>
      <c r="J608" s="95"/>
      <c r="K608" s="17">
        <v>26</v>
      </c>
      <c r="L608" s="226">
        <v>100</v>
      </c>
      <c r="M608" s="335" t="e">
        <f t="shared" si="436"/>
        <v>#DIV/0!</v>
      </c>
      <c r="N608" s="329">
        <f t="shared" si="455"/>
        <v>100</v>
      </c>
    </row>
    <row r="609" spans="1:14" ht="14.1" customHeight="1">
      <c r="A609" s="32"/>
      <c r="B609" s="33">
        <v>5525</v>
      </c>
      <c r="C609" s="34" t="s">
        <v>264</v>
      </c>
      <c r="D609" s="52">
        <v>5900</v>
      </c>
      <c r="E609" s="95">
        <v>4855</v>
      </c>
      <c r="F609" s="224">
        <v>5000</v>
      </c>
      <c r="G609" s="17"/>
      <c r="H609" s="95">
        <f t="shared" si="463"/>
        <v>5000</v>
      </c>
      <c r="I609" s="17">
        <v>-500</v>
      </c>
      <c r="J609" s="95">
        <f t="shared" si="468"/>
        <v>4500</v>
      </c>
      <c r="K609" s="17">
        <v>15060</v>
      </c>
      <c r="L609" s="226">
        <v>5500</v>
      </c>
      <c r="M609" s="335">
        <f t="shared" si="436"/>
        <v>0.22222222222222221</v>
      </c>
      <c r="N609" s="329">
        <f t="shared" si="455"/>
        <v>1000</v>
      </c>
    </row>
    <row r="610" spans="1:14" ht="14.1" customHeight="1">
      <c r="A610" s="32"/>
      <c r="B610" s="33">
        <v>5540</v>
      </c>
      <c r="C610" s="43" t="s">
        <v>457</v>
      </c>
      <c r="D610" s="52">
        <v>600</v>
      </c>
      <c r="E610" s="95">
        <v>600</v>
      </c>
      <c r="F610" s="224">
        <v>0</v>
      </c>
      <c r="G610" s="17">
        <v>100</v>
      </c>
      <c r="H610" s="95">
        <f t="shared" si="463"/>
        <v>100</v>
      </c>
      <c r="I610" s="17"/>
      <c r="J610" s="95">
        <f t="shared" si="468"/>
        <v>100</v>
      </c>
      <c r="K610" s="17"/>
      <c r="L610" s="226">
        <v>400</v>
      </c>
      <c r="M610" s="335">
        <f t="shared" si="436"/>
        <v>3</v>
      </c>
      <c r="N610" s="329">
        <f t="shared" si="455"/>
        <v>300</v>
      </c>
    </row>
    <row r="611" spans="1:14" ht="14.1" customHeight="1">
      <c r="A611" s="45" t="s">
        <v>458</v>
      </c>
      <c r="B611" s="46"/>
      <c r="C611" s="63" t="s">
        <v>459</v>
      </c>
      <c r="D611" s="53">
        <v>33820</v>
      </c>
      <c r="E611" s="50">
        <v>24000</v>
      </c>
      <c r="F611" s="50">
        <f t="shared" ref="F611" si="469">+F612+F613</f>
        <v>31807</v>
      </c>
      <c r="G611" s="50">
        <f t="shared" ref="G611:H611" si="470">+G612+G613</f>
        <v>-450</v>
      </c>
      <c r="H611" s="50">
        <f t="shared" si="470"/>
        <v>31357</v>
      </c>
      <c r="I611" s="50">
        <f t="shared" ref="I611:J611" si="471">+I612+I613</f>
        <v>-500</v>
      </c>
      <c r="J611" s="50">
        <f t="shared" si="471"/>
        <v>30857</v>
      </c>
      <c r="K611" s="50">
        <f t="shared" ref="K611:L611" si="472">+K612+K613</f>
        <v>18721.5</v>
      </c>
      <c r="L611" s="50">
        <f t="shared" si="472"/>
        <v>32000</v>
      </c>
      <c r="M611" s="335">
        <f t="shared" si="436"/>
        <v>3.7041838156658131E-2</v>
      </c>
      <c r="N611" s="329">
        <f t="shared" si="455"/>
        <v>1143</v>
      </c>
    </row>
    <row r="612" spans="1:14" ht="14.1" customHeight="1">
      <c r="A612" s="37"/>
      <c r="B612" s="38">
        <v>50</v>
      </c>
      <c r="C612" s="13" t="s">
        <v>211</v>
      </c>
      <c r="D612" s="52">
        <v>17662</v>
      </c>
      <c r="E612" s="143">
        <v>17695</v>
      </c>
      <c r="F612" s="224">
        <v>20407</v>
      </c>
      <c r="G612" s="143"/>
      <c r="H612" s="143">
        <f t="shared" ref="H612:H627" si="473">+G612+F612</f>
        <v>20407</v>
      </c>
      <c r="I612" s="143"/>
      <c r="J612" s="143">
        <f t="shared" ref="J612" si="474">+I612+H612</f>
        <v>20407</v>
      </c>
      <c r="K612" s="143">
        <v>15353</v>
      </c>
      <c r="L612" s="152">
        <v>21000</v>
      </c>
      <c r="M612" s="335">
        <f t="shared" si="436"/>
        <v>2.9058656343411576E-2</v>
      </c>
      <c r="N612" s="329">
        <f t="shared" si="455"/>
        <v>593</v>
      </c>
    </row>
    <row r="613" spans="1:14" s="6" customFormat="1" ht="14.1" customHeight="1">
      <c r="A613" s="66"/>
      <c r="B613" s="60">
        <v>55</v>
      </c>
      <c r="C613" s="61" t="s">
        <v>213</v>
      </c>
      <c r="D613" s="52">
        <v>16158</v>
      </c>
      <c r="E613" s="137">
        <v>6305</v>
      </c>
      <c r="F613" s="138">
        <f>+F614+F615+F616+F620+F621+F622+F623+F624+F626+F627+F619</f>
        <v>11400</v>
      </c>
      <c r="G613" s="138">
        <f t="shared" ref="G613:H613" si="475">+G614+G615+G616+G620+G621+G622+G623+G624+G626+G627+G619</f>
        <v>-450</v>
      </c>
      <c r="H613" s="138">
        <f t="shared" si="475"/>
        <v>10950</v>
      </c>
      <c r="I613" s="138">
        <f t="shared" ref="I613" si="476">+I614+I615+I616+I620+I621+I622+I623+I624+I626+I627+I619</f>
        <v>-500</v>
      </c>
      <c r="J613" s="138">
        <f>+J614+J615+J616+J620+J621+J622+J623+J624+J626+J627+J619+J625</f>
        <v>10450</v>
      </c>
      <c r="K613" s="138">
        <f>+K614+K615+K616+K620+K621+K622+K623+K624+K626+K627+K619+K625</f>
        <v>3368.5</v>
      </c>
      <c r="L613" s="138">
        <f t="shared" ref="L613" si="477">+L614+L615+L616+L620+L621+L622+L623+L624+L626+L627+L619+L625</f>
        <v>11000</v>
      </c>
      <c r="M613" s="335">
        <f t="shared" si="436"/>
        <v>5.2631578947368418E-2</v>
      </c>
      <c r="N613" s="329">
        <f t="shared" si="455"/>
        <v>550</v>
      </c>
    </row>
    <row r="614" spans="1:14" s="6" customFormat="1" ht="14.1" customHeight="1">
      <c r="A614" s="66"/>
      <c r="B614" s="64">
        <v>5500</v>
      </c>
      <c r="C614" s="71" t="s">
        <v>327</v>
      </c>
      <c r="D614" s="52">
        <v>700</v>
      </c>
      <c r="E614" s="17">
        <v>750</v>
      </c>
      <c r="F614" s="224">
        <v>900</v>
      </c>
      <c r="G614" s="17"/>
      <c r="H614" s="17">
        <f t="shared" si="473"/>
        <v>900</v>
      </c>
      <c r="I614" s="17">
        <v>250</v>
      </c>
      <c r="J614" s="17">
        <f t="shared" ref="J614:J615" si="478">+I614+H614</f>
        <v>1150</v>
      </c>
      <c r="K614" s="17">
        <v>416</v>
      </c>
      <c r="L614" s="226">
        <v>1000</v>
      </c>
      <c r="M614" s="335">
        <f t="shared" si="436"/>
        <v>-0.13043478260869565</v>
      </c>
      <c r="N614" s="329">
        <f t="shared" si="455"/>
        <v>-150</v>
      </c>
    </row>
    <row r="615" spans="1:14" s="6" customFormat="1" ht="14.1" customHeight="1">
      <c r="A615" s="66"/>
      <c r="B615" s="64">
        <v>5504</v>
      </c>
      <c r="C615" s="71" t="s">
        <v>230</v>
      </c>
      <c r="D615" s="52">
        <v>300</v>
      </c>
      <c r="E615" s="17">
        <v>100</v>
      </c>
      <c r="F615" s="224">
        <v>300</v>
      </c>
      <c r="G615" s="17"/>
      <c r="H615" s="17">
        <f t="shared" si="473"/>
        <v>300</v>
      </c>
      <c r="I615" s="17"/>
      <c r="J615" s="17">
        <f t="shared" si="478"/>
        <v>300</v>
      </c>
      <c r="K615" s="17">
        <v>30</v>
      </c>
      <c r="L615" s="226">
        <v>300</v>
      </c>
      <c r="M615" s="335">
        <f t="shared" si="436"/>
        <v>0</v>
      </c>
      <c r="N615" s="329">
        <f t="shared" si="455"/>
        <v>0</v>
      </c>
    </row>
    <row r="616" spans="1:14" s="6" customFormat="1" ht="14.1" customHeight="1">
      <c r="A616" s="66"/>
      <c r="B616" s="33">
        <v>5511</v>
      </c>
      <c r="C616" s="58" t="s">
        <v>453</v>
      </c>
      <c r="D616" s="52">
        <v>200</v>
      </c>
      <c r="E616" s="17">
        <v>250</v>
      </c>
      <c r="F616" s="224">
        <f t="shared" ref="F616" si="479">SUM(F617:F618)</f>
        <v>550</v>
      </c>
      <c r="G616" s="17">
        <f t="shared" ref="G616:H616" si="480">SUM(G617:G618)</f>
        <v>-50</v>
      </c>
      <c r="H616" s="17">
        <f t="shared" si="480"/>
        <v>500</v>
      </c>
      <c r="I616" s="17">
        <f t="shared" ref="I616:L616" si="481">SUM(I617:I618)</f>
        <v>0</v>
      </c>
      <c r="J616" s="17">
        <f t="shared" si="481"/>
        <v>500</v>
      </c>
      <c r="K616" s="17">
        <f t="shared" si="481"/>
        <v>0</v>
      </c>
      <c r="L616" s="226">
        <f t="shared" si="481"/>
        <v>400</v>
      </c>
      <c r="M616" s="335">
        <f t="shared" si="436"/>
        <v>-0.2</v>
      </c>
      <c r="N616" s="329">
        <f t="shared" si="455"/>
        <v>-100</v>
      </c>
    </row>
    <row r="617" spans="1:14" s="168" customFormat="1" ht="14.1" customHeight="1">
      <c r="A617" s="167"/>
      <c r="B617" s="145"/>
      <c r="C617" s="156" t="s">
        <v>454</v>
      </c>
      <c r="D617" s="151">
        <v>200</v>
      </c>
      <c r="E617" s="147">
        <v>250</v>
      </c>
      <c r="F617" s="230">
        <v>300</v>
      </c>
      <c r="G617" s="147">
        <v>-50</v>
      </c>
      <c r="H617" s="147">
        <f t="shared" si="473"/>
        <v>250</v>
      </c>
      <c r="I617" s="147"/>
      <c r="J617" s="147">
        <f t="shared" ref="J617:J627" si="482">+I617+H617</f>
        <v>250</v>
      </c>
      <c r="K617" s="147"/>
      <c r="L617" s="229">
        <v>250</v>
      </c>
      <c r="M617" s="335">
        <f t="shared" ref="M617:M683" si="483">(L617-J617)/J617</f>
        <v>0</v>
      </c>
      <c r="N617" s="329">
        <f t="shared" si="455"/>
        <v>0</v>
      </c>
    </row>
    <row r="618" spans="1:14" s="168" customFormat="1" ht="14.1" customHeight="1">
      <c r="A618" s="167"/>
      <c r="B618" s="145"/>
      <c r="C618" s="156" t="s">
        <v>455</v>
      </c>
      <c r="D618" s="151">
        <v>0</v>
      </c>
      <c r="E618" s="147">
        <v>0</v>
      </c>
      <c r="F618" s="230">
        <v>250</v>
      </c>
      <c r="G618" s="147"/>
      <c r="H618" s="147">
        <f t="shared" si="473"/>
        <v>250</v>
      </c>
      <c r="I618" s="147"/>
      <c r="J618" s="147">
        <f t="shared" si="482"/>
        <v>250</v>
      </c>
      <c r="K618" s="147"/>
      <c r="L618" s="229">
        <v>150</v>
      </c>
      <c r="M618" s="335">
        <f t="shared" si="483"/>
        <v>-0.4</v>
      </c>
      <c r="N618" s="329">
        <f t="shared" si="455"/>
        <v>-100</v>
      </c>
    </row>
    <row r="619" spans="1:14" s="168" customFormat="1" ht="14.1" customHeight="1">
      <c r="A619" s="167"/>
      <c r="B619" s="64">
        <v>5512</v>
      </c>
      <c r="C619" s="34" t="s">
        <v>344</v>
      </c>
      <c r="D619" s="151"/>
      <c r="E619" s="147"/>
      <c r="F619" s="224">
        <v>1000</v>
      </c>
      <c r="G619" s="17"/>
      <c r="H619" s="17">
        <f t="shared" si="473"/>
        <v>1000</v>
      </c>
      <c r="I619" s="17"/>
      <c r="J619" s="17">
        <f t="shared" si="482"/>
        <v>1000</v>
      </c>
      <c r="K619" s="17">
        <v>1002</v>
      </c>
      <c r="L619" s="226">
        <v>900</v>
      </c>
      <c r="M619" s="335">
        <f t="shared" si="483"/>
        <v>-0.1</v>
      </c>
      <c r="N619" s="329">
        <f t="shared" si="455"/>
        <v>-100</v>
      </c>
    </row>
    <row r="620" spans="1:14" s="6" customFormat="1" ht="14.1" customHeight="1">
      <c r="A620" s="66"/>
      <c r="B620" s="64">
        <v>5513</v>
      </c>
      <c r="C620" s="71" t="s">
        <v>254</v>
      </c>
      <c r="D620" s="52">
        <v>768</v>
      </c>
      <c r="E620" s="17">
        <v>0</v>
      </c>
      <c r="F620" s="224">
        <v>800</v>
      </c>
      <c r="G620" s="17">
        <v>-300</v>
      </c>
      <c r="H620" s="17">
        <f t="shared" si="473"/>
        <v>500</v>
      </c>
      <c r="I620" s="17"/>
      <c r="J620" s="17">
        <f t="shared" si="482"/>
        <v>500</v>
      </c>
      <c r="K620" s="17">
        <v>504.2</v>
      </c>
      <c r="L620" s="226">
        <v>500</v>
      </c>
      <c r="M620" s="335">
        <f t="shared" si="483"/>
        <v>0</v>
      </c>
      <c r="N620" s="329">
        <f t="shared" si="455"/>
        <v>0</v>
      </c>
    </row>
    <row r="621" spans="1:14" s="6" customFormat="1" ht="14.1" customHeight="1">
      <c r="A621" s="66"/>
      <c r="B621" s="64">
        <v>5514</v>
      </c>
      <c r="C621" s="58" t="s">
        <v>221</v>
      </c>
      <c r="D621" s="52">
        <v>240</v>
      </c>
      <c r="E621" s="17">
        <v>0</v>
      </c>
      <c r="F621" s="224">
        <f>500+250</f>
        <v>750</v>
      </c>
      <c r="G621" s="17"/>
      <c r="H621" s="17">
        <f t="shared" si="473"/>
        <v>750</v>
      </c>
      <c r="I621" s="17">
        <v>-250</v>
      </c>
      <c r="J621" s="17">
        <f t="shared" si="482"/>
        <v>500</v>
      </c>
      <c r="K621" s="17">
        <v>98</v>
      </c>
      <c r="L621" s="226">
        <v>500</v>
      </c>
      <c r="M621" s="335">
        <f t="shared" si="483"/>
        <v>0</v>
      </c>
      <c r="N621" s="329">
        <f t="shared" si="455"/>
        <v>0</v>
      </c>
    </row>
    <row r="622" spans="1:14" s="6" customFormat="1" ht="14.1" customHeight="1">
      <c r="A622" s="66"/>
      <c r="B622" s="64">
        <v>5515</v>
      </c>
      <c r="C622" s="71" t="s">
        <v>257</v>
      </c>
      <c r="D622" s="52">
        <v>200</v>
      </c>
      <c r="E622" s="17">
        <v>1100</v>
      </c>
      <c r="F622" s="224">
        <v>1000</v>
      </c>
      <c r="G622" s="17"/>
      <c r="H622" s="17">
        <f t="shared" si="473"/>
        <v>1000</v>
      </c>
      <c r="I622" s="17"/>
      <c r="J622" s="17">
        <f t="shared" si="482"/>
        <v>1000</v>
      </c>
      <c r="K622" s="17">
        <v>296</v>
      </c>
      <c r="L622" s="226">
        <v>1000</v>
      </c>
      <c r="M622" s="335">
        <f t="shared" si="483"/>
        <v>0</v>
      </c>
      <c r="N622" s="329">
        <f t="shared" si="455"/>
        <v>0</v>
      </c>
    </row>
    <row r="623" spans="1:14" s="6" customFormat="1" ht="14.1" customHeight="1">
      <c r="A623" s="66"/>
      <c r="B623" s="64">
        <v>5521</v>
      </c>
      <c r="C623" s="71" t="s">
        <v>353</v>
      </c>
      <c r="D623" s="52">
        <v>0</v>
      </c>
      <c r="E623" s="17">
        <v>0</v>
      </c>
      <c r="F623" s="224">
        <v>200</v>
      </c>
      <c r="G623" s="17"/>
      <c r="H623" s="17">
        <f t="shared" si="473"/>
        <v>200</v>
      </c>
      <c r="I623" s="17"/>
      <c r="J623" s="17">
        <f t="shared" si="482"/>
        <v>200</v>
      </c>
      <c r="K623" s="17">
        <v>75</v>
      </c>
      <c r="L623" s="226">
        <v>200</v>
      </c>
      <c r="M623" s="335">
        <f t="shared" si="483"/>
        <v>0</v>
      </c>
      <c r="N623" s="329">
        <f t="shared" si="455"/>
        <v>0</v>
      </c>
    </row>
    <row r="624" spans="1:14" s="6" customFormat="1" ht="14.1" customHeight="1">
      <c r="A624" s="66"/>
      <c r="B624" s="64">
        <v>5522</v>
      </c>
      <c r="C624" s="71" t="s">
        <v>262</v>
      </c>
      <c r="D624" s="52">
        <v>50</v>
      </c>
      <c r="E624" s="17">
        <v>50</v>
      </c>
      <c r="F624" s="224">
        <v>200</v>
      </c>
      <c r="G624" s="17">
        <v>-100</v>
      </c>
      <c r="H624" s="17">
        <f t="shared" si="473"/>
        <v>100</v>
      </c>
      <c r="I624" s="17"/>
      <c r="J624" s="17">
        <f t="shared" si="482"/>
        <v>100</v>
      </c>
      <c r="K624" s="17"/>
      <c r="L624" s="226">
        <v>100</v>
      </c>
      <c r="M624" s="335">
        <f t="shared" si="483"/>
        <v>0</v>
      </c>
      <c r="N624" s="329">
        <f t="shared" si="455"/>
        <v>0</v>
      </c>
    </row>
    <row r="625" spans="1:14" s="6" customFormat="1" ht="14.1" customHeight="1">
      <c r="A625" s="66"/>
      <c r="B625" s="33">
        <v>5524</v>
      </c>
      <c r="C625" s="34" t="s">
        <v>456</v>
      </c>
      <c r="D625" s="52"/>
      <c r="E625" s="17"/>
      <c r="F625" s="224"/>
      <c r="G625" s="17"/>
      <c r="H625" s="17"/>
      <c r="I625" s="17"/>
      <c r="J625" s="17"/>
      <c r="K625" s="17"/>
      <c r="L625" s="226">
        <v>100</v>
      </c>
      <c r="M625" s="335">
        <v>1</v>
      </c>
      <c r="N625" s="329">
        <f t="shared" si="455"/>
        <v>100</v>
      </c>
    </row>
    <row r="626" spans="1:14" ht="14.1" customHeight="1">
      <c r="A626" s="32"/>
      <c r="B626" s="33">
        <v>5525</v>
      </c>
      <c r="C626" s="58" t="s">
        <v>264</v>
      </c>
      <c r="D626" s="52">
        <v>13000</v>
      </c>
      <c r="E626" s="17">
        <v>3855</v>
      </c>
      <c r="F626" s="224">
        <v>5000</v>
      </c>
      <c r="G626" s="17"/>
      <c r="H626" s="17">
        <f t="shared" si="473"/>
        <v>5000</v>
      </c>
      <c r="I626" s="17">
        <v>-500</v>
      </c>
      <c r="J626" s="17">
        <f t="shared" si="482"/>
        <v>4500</v>
      </c>
      <c r="K626" s="17">
        <v>872</v>
      </c>
      <c r="L626" s="226">
        <v>5500</v>
      </c>
      <c r="M626" s="335">
        <f t="shared" si="483"/>
        <v>0.22222222222222221</v>
      </c>
      <c r="N626" s="329">
        <f t="shared" si="455"/>
        <v>1000</v>
      </c>
    </row>
    <row r="627" spans="1:14" ht="14.1" customHeight="1">
      <c r="A627" s="32"/>
      <c r="B627" s="33">
        <v>5540</v>
      </c>
      <c r="C627" s="43" t="s">
        <v>457</v>
      </c>
      <c r="D627" s="52">
        <v>700</v>
      </c>
      <c r="E627" s="17">
        <v>200</v>
      </c>
      <c r="F627" s="224">
        <v>700</v>
      </c>
      <c r="G627" s="17"/>
      <c r="H627" s="17">
        <f t="shared" si="473"/>
        <v>700</v>
      </c>
      <c r="I627" s="17"/>
      <c r="J627" s="17">
        <f t="shared" si="482"/>
        <v>700</v>
      </c>
      <c r="K627" s="17">
        <v>75.3</v>
      </c>
      <c r="L627" s="226">
        <v>500</v>
      </c>
      <c r="M627" s="335">
        <f t="shared" si="483"/>
        <v>-0.2857142857142857</v>
      </c>
      <c r="N627" s="329">
        <f t="shared" si="455"/>
        <v>-200</v>
      </c>
    </row>
    <row r="628" spans="1:14" ht="14.1" customHeight="1">
      <c r="A628" s="56" t="s">
        <v>460</v>
      </c>
      <c r="B628" s="46"/>
      <c r="C628" s="63" t="s">
        <v>461</v>
      </c>
      <c r="D628" s="53">
        <v>28436</v>
      </c>
      <c r="E628" s="50">
        <v>27656</v>
      </c>
      <c r="F628" s="50">
        <f t="shared" ref="F628" si="484">+F629+F630</f>
        <v>39828</v>
      </c>
      <c r="G628" s="54">
        <f t="shared" ref="G628:H628" si="485">+G629+G630</f>
        <v>0</v>
      </c>
      <c r="H628" s="50">
        <f t="shared" si="485"/>
        <v>39828</v>
      </c>
      <c r="I628" s="54">
        <f t="shared" ref="I628:J628" si="486">+I629+I630</f>
        <v>-500</v>
      </c>
      <c r="J628" s="50">
        <f t="shared" si="486"/>
        <v>39328</v>
      </c>
      <c r="K628" s="50">
        <f t="shared" ref="K628:L628" si="487">+K629+K630</f>
        <v>30794.32</v>
      </c>
      <c r="L628" s="50">
        <f t="shared" si="487"/>
        <v>45500</v>
      </c>
      <c r="M628" s="335">
        <f t="shared" si="483"/>
        <v>0.15693653376729047</v>
      </c>
      <c r="N628" s="329">
        <f t="shared" si="455"/>
        <v>6172</v>
      </c>
    </row>
    <row r="629" spans="1:14" s="6" customFormat="1" ht="14.1" customHeight="1">
      <c r="A629" s="66"/>
      <c r="B629" s="60" t="s">
        <v>210</v>
      </c>
      <c r="C629" s="61" t="s">
        <v>211</v>
      </c>
      <c r="D629" s="52">
        <v>17662</v>
      </c>
      <c r="E629" s="143">
        <v>19295</v>
      </c>
      <c r="F629" s="224">
        <v>20407</v>
      </c>
      <c r="G629" s="143"/>
      <c r="H629" s="143">
        <f t="shared" ref="H629" si="488">+G629+F629</f>
        <v>20407</v>
      </c>
      <c r="I629" s="143"/>
      <c r="J629" s="143">
        <f t="shared" ref="J629" si="489">+I629+H629</f>
        <v>20407</v>
      </c>
      <c r="K629" s="143">
        <v>14573</v>
      </c>
      <c r="L629" s="152">
        <v>21000</v>
      </c>
      <c r="M629" s="335">
        <f t="shared" si="483"/>
        <v>2.9058656343411576E-2</v>
      </c>
      <c r="N629" s="329">
        <f t="shared" si="455"/>
        <v>593</v>
      </c>
    </row>
    <row r="630" spans="1:14" ht="14.1" customHeight="1">
      <c r="A630" s="32"/>
      <c r="B630" s="38">
        <v>55</v>
      </c>
      <c r="C630" s="39" t="s">
        <v>213</v>
      </c>
      <c r="D630" s="52">
        <v>10774</v>
      </c>
      <c r="E630" s="138">
        <v>8361</v>
      </c>
      <c r="F630" s="138">
        <f>+F631+F632+F633+F634+F644+F645+F646+F648+F649+F651+F652+F650</f>
        <v>19421</v>
      </c>
      <c r="G630" s="138">
        <f t="shared" ref="G630:H630" si="490">+G631+G632+G633+G634+G644+G645+G646+G648+G649+G651+G652+G650</f>
        <v>0</v>
      </c>
      <c r="H630" s="138">
        <f t="shared" si="490"/>
        <v>19421</v>
      </c>
      <c r="I630" s="138">
        <f t="shared" ref="I630:K630" si="491">+I631+I632+I633+I634+I644+I645+I646+I648+I649+I651+I652+I650</f>
        <v>-500</v>
      </c>
      <c r="J630" s="138">
        <f t="shared" si="491"/>
        <v>18921</v>
      </c>
      <c r="K630" s="138">
        <f t="shared" si="491"/>
        <v>16221.32</v>
      </c>
      <c r="L630" s="138">
        <f>+L631+L632+L633+L634+L644+L645+L646+L648+L649+L651+L652+L650</f>
        <v>24500</v>
      </c>
      <c r="M630" s="335">
        <f t="shared" si="483"/>
        <v>0.29485756566777654</v>
      </c>
      <c r="N630" s="329">
        <f t="shared" si="455"/>
        <v>5579</v>
      </c>
    </row>
    <row r="631" spans="1:14" ht="14.1" customHeight="1">
      <c r="A631" s="32"/>
      <c r="B631" s="33">
        <v>5500</v>
      </c>
      <c r="C631" s="40" t="s">
        <v>327</v>
      </c>
      <c r="D631" s="52">
        <v>400</v>
      </c>
      <c r="E631" s="17">
        <v>400</v>
      </c>
      <c r="F631" s="224">
        <v>400</v>
      </c>
      <c r="G631" s="17"/>
      <c r="H631" s="17">
        <f t="shared" ref="H631:H652" si="492">+G631+F631</f>
        <v>400</v>
      </c>
      <c r="I631" s="17">
        <v>250</v>
      </c>
      <c r="J631" s="17">
        <f t="shared" ref="J631:J633" si="493">+I631+H631</f>
        <v>650</v>
      </c>
      <c r="K631" s="17">
        <v>825</v>
      </c>
      <c r="L631" s="226">
        <v>700</v>
      </c>
      <c r="M631" s="335">
        <f t="shared" si="483"/>
        <v>7.6923076923076927E-2</v>
      </c>
      <c r="N631" s="329">
        <f t="shared" si="455"/>
        <v>50</v>
      </c>
    </row>
    <row r="632" spans="1:14" ht="14.1" customHeight="1">
      <c r="A632" s="32"/>
      <c r="B632" s="33">
        <v>5503</v>
      </c>
      <c r="C632" s="40" t="s">
        <v>216</v>
      </c>
      <c r="D632" s="52">
        <v>0</v>
      </c>
      <c r="E632" s="17">
        <v>0</v>
      </c>
      <c r="F632" s="224">
        <v>0</v>
      </c>
      <c r="G632" s="17"/>
      <c r="H632" s="17">
        <f t="shared" si="492"/>
        <v>0</v>
      </c>
      <c r="I632" s="17"/>
      <c r="J632" s="17">
        <f t="shared" si="493"/>
        <v>0</v>
      </c>
      <c r="K632" s="17"/>
      <c r="L632" s="226"/>
      <c r="M632" s="335" t="e">
        <f t="shared" si="483"/>
        <v>#DIV/0!</v>
      </c>
      <c r="N632" s="329">
        <f t="shared" si="455"/>
        <v>0</v>
      </c>
    </row>
    <row r="633" spans="1:14" ht="14.1" customHeight="1">
      <c r="A633" s="32"/>
      <c r="B633" s="33">
        <v>5504</v>
      </c>
      <c r="C633" s="40" t="s">
        <v>462</v>
      </c>
      <c r="D633" s="52">
        <v>300</v>
      </c>
      <c r="E633" s="17">
        <v>300</v>
      </c>
      <c r="F633" s="224">
        <v>300</v>
      </c>
      <c r="G633" s="17"/>
      <c r="H633" s="17">
        <f t="shared" si="492"/>
        <v>300</v>
      </c>
      <c r="I633" s="17"/>
      <c r="J633" s="17">
        <f t="shared" si="493"/>
        <v>300</v>
      </c>
      <c r="K633" s="17"/>
      <c r="L633" s="226">
        <v>300</v>
      </c>
      <c r="M633" s="335">
        <f t="shared" si="483"/>
        <v>0</v>
      </c>
      <c r="N633" s="329">
        <f t="shared" si="455"/>
        <v>0</v>
      </c>
    </row>
    <row r="634" spans="1:14" ht="14.1" customHeight="1">
      <c r="A634" s="32"/>
      <c r="B634" s="33">
        <v>5511</v>
      </c>
      <c r="C634" s="34" t="s">
        <v>453</v>
      </c>
      <c r="D634" s="52">
        <v>1644</v>
      </c>
      <c r="E634" s="17">
        <v>276</v>
      </c>
      <c r="F634" s="224">
        <f>SUM(F635:F642)</f>
        <v>9971</v>
      </c>
      <c r="G634" s="17">
        <f>SUM(G635:G643)</f>
        <v>0</v>
      </c>
      <c r="H634" s="94">
        <f>SUM(H635:H643)</f>
        <v>9971</v>
      </c>
      <c r="I634" s="17">
        <f>SUM(I635:I643)</f>
        <v>0</v>
      </c>
      <c r="J634" s="17">
        <f>SUM(J635:J643)</f>
        <v>9971</v>
      </c>
      <c r="K634" s="17">
        <f t="shared" ref="K634" si="494">SUM(K635:K643)</f>
        <v>7982.32</v>
      </c>
      <c r="L634" s="17">
        <f>SUM(L635:L643)</f>
        <v>14350</v>
      </c>
      <c r="M634" s="335">
        <f t="shared" si="483"/>
        <v>0.439173603450005</v>
      </c>
      <c r="N634" s="329">
        <f t="shared" si="455"/>
        <v>4379</v>
      </c>
    </row>
    <row r="635" spans="1:14" ht="14.1" customHeight="1">
      <c r="A635" s="32"/>
      <c r="B635" s="33"/>
      <c r="C635" s="150" t="s">
        <v>463</v>
      </c>
      <c r="D635" s="52"/>
      <c r="E635" s="17"/>
      <c r="F635" s="230">
        <v>1000</v>
      </c>
      <c r="G635" s="147">
        <v>-500</v>
      </c>
      <c r="H635" s="147">
        <f t="shared" si="492"/>
        <v>500</v>
      </c>
      <c r="I635" s="147">
        <v>-500</v>
      </c>
      <c r="J635" s="147">
        <f t="shared" ref="J635:J652" si="495">+I635+H635</f>
        <v>0</v>
      </c>
      <c r="K635" s="147"/>
      <c r="L635" s="229">
        <v>500</v>
      </c>
      <c r="M635" s="335" t="e">
        <f t="shared" si="483"/>
        <v>#DIV/0!</v>
      </c>
      <c r="N635" s="329">
        <f t="shared" si="455"/>
        <v>500</v>
      </c>
    </row>
    <row r="636" spans="1:14" s="142" customFormat="1" ht="14.1" customHeight="1">
      <c r="A636" s="144"/>
      <c r="B636" s="145"/>
      <c r="C636" s="146" t="s">
        <v>235</v>
      </c>
      <c r="D636" s="151">
        <v>1300</v>
      </c>
      <c r="E636" s="147">
        <v>60</v>
      </c>
      <c r="F636" s="230">
        <v>2000</v>
      </c>
      <c r="G636" s="147">
        <v>-465</v>
      </c>
      <c r="H636" s="147">
        <f t="shared" si="492"/>
        <v>1535</v>
      </c>
      <c r="I636" s="147">
        <v>4000</v>
      </c>
      <c r="J636" s="147">
        <f t="shared" si="495"/>
        <v>5535</v>
      </c>
      <c r="K636" s="147">
        <v>4905</v>
      </c>
      <c r="L636" s="229">
        <v>7500</v>
      </c>
      <c r="M636" s="335">
        <f t="shared" si="483"/>
        <v>0.35501355013550134</v>
      </c>
      <c r="N636" s="329">
        <f t="shared" si="455"/>
        <v>1965</v>
      </c>
    </row>
    <row r="637" spans="1:14" s="142" customFormat="1" ht="14.1" customHeight="1">
      <c r="A637" s="144"/>
      <c r="B637" s="145"/>
      <c r="C637" s="146" t="s">
        <v>237</v>
      </c>
      <c r="D637" s="151">
        <v>144</v>
      </c>
      <c r="E637" s="147">
        <v>0</v>
      </c>
      <c r="F637" s="230">
        <v>250</v>
      </c>
      <c r="G637" s="147"/>
      <c r="H637" s="147">
        <f t="shared" si="492"/>
        <v>250</v>
      </c>
      <c r="I637" s="147"/>
      <c r="J637" s="147">
        <f t="shared" si="495"/>
        <v>250</v>
      </c>
      <c r="K637" s="147">
        <v>122</v>
      </c>
      <c r="L637" s="229">
        <v>150</v>
      </c>
      <c r="M637" s="335">
        <f t="shared" si="483"/>
        <v>-0.4</v>
      </c>
      <c r="N637" s="329">
        <f t="shared" si="455"/>
        <v>-100</v>
      </c>
    </row>
    <row r="638" spans="1:14" s="142" customFormat="1" ht="14.1" customHeight="1">
      <c r="A638" s="144"/>
      <c r="B638" s="145"/>
      <c r="C638" s="146" t="s">
        <v>239</v>
      </c>
      <c r="D638" s="151">
        <v>100</v>
      </c>
      <c r="E638" s="147">
        <v>100</v>
      </c>
      <c r="F638" s="230">
        <v>100</v>
      </c>
      <c r="G638" s="147"/>
      <c r="H638" s="147">
        <f t="shared" si="492"/>
        <v>100</v>
      </c>
      <c r="I638" s="147"/>
      <c r="J638" s="147">
        <f t="shared" si="495"/>
        <v>100</v>
      </c>
      <c r="K638" s="147">
        <v>306</v>
      </c>
      <c r="L638" s="229">
        <v>500</v>
      </c>
      <c r="M638" s="335">
        <f t="shared" si="483"/>
        <v>4</v>
      </c>
      <c r="N638" s="329">
        <f t="shared" si="455"/>
        <v>400</v>
      </c>
    </row>
    <row r="639" spans="1:14" s="142" customFormat="1" ht="14.1" customHeight="1">
      <c r="A639" s="144"/>
      <c r="B639" s="145"/>
      <c r="C639" s="146" t="s">
        <v>241</v>
      </c>
      <c r="D639" s="151">
        <v>100</v>
      </c>
      <c r="E639" s="147">
        <v>100</v>
      </c>
      <c r="F639" s="230">
        <v>0</v>
      </c>
      <c r="G639" s="147"/>
      <c r="H639" s="147">
        <f t="shared" si="492"/>
        <v>0</v>
      </c>
      <c r="I639" s="147"/>
      <c r="J639" s="147">
        <f t="shared" si="495"/>
        <v>0</v>
      </c>
      <c r="K639" s="147">
        <v>72</v>
      </c>
      <c r="L639" s="229">
        <v>200</v>
      </c>
      <c r="M639" s="335" t="e">
        <f t="shared" si="483"/>
        <v>#DIV/0!</v>
      </c>
      <c r="N639" s="329">
        <f t="shared" si="455"/>
        <v>200</v>
      </c>
    </row>
    <row r="640" spans="1:14" s="142" customFormat="1" ht="14.1" customHeight="1">
      <c r="A640" s="144"/>
      <c r="B640" s="145"/>
      <c r="C640" s="146" t="s">
        <v>464</v>
      </c>
      <c r="D640" s="151"/>
      <c r="E640" s="147">
        <v>0</v>
      </c>
      <c r="F640" s="230">
        <v>100</v>
      </c>
      <c r="G640" s="147"/>
      <c r="H640" s="147">
        <f t="shared" si="492"/>
        <v>100</v>
      </c>
      <c r="I640" s="147"/>
      <c r="J640" s="147">
        <f t="shared" si="495"/>
        <v>100</v>
      </c>
      <c r="K640" s="147">
        <v>144</v>
      </c>
      <c r="L640" s="229">
        <v>300</v>
      </c>
      <c r="M640" s="335">
        <f t="shared" si="483"/>
        <v>2</v>
      </c>
      <c r="N640" s="329">
        <f t="shared" si="455"/>
        <v>200</v>
      </c>
    </row>
    <row r="641" spans="1:14" s="142" customFormat="1" ht="14.1" customHeight="1">
      <c r="A641" s="144"/>
      <c r="B641" s="145"/>
      <c r="C641" s="146" t="s">
        <v>364</v>
      </c>
      <c r="D641" s="151"/>
      <c r="E641" s="147">
        <v>0</v>
      </c>
      <c r="F641" s="230">
        <v>6300</v>
      </c>
      <c r="G641" s="147"/>
      <c r="H641" s="147">
        <f t="shared" si="492"/>
        <v>6300</v>
      </c>
      <c r="I641" s="147">
        <v>-3500</v>
      </c>
      <c r="J641" s="147">
        <f t="shared" si="495"/>
        <v>2800</v>
      </c>
      <c r="K641" s="147">
        <v>1578.32</v>
      </c>
      <c r="L641" s="229">
        <f>700+3300</f>
        <v>4000</v>
      </c>
      <c r="M641" s="335">
        <f t="shared" si="483"/>
        <v>0.42857142857142855</v>
      </c>
      <c r="N641" s="329">
        <f t="shared" si="455"/>
        <v>1200</v>
      </c>
    </row>
    <row r="642" spans="1:14" s="142" customFormat="1" ht="14.1" customHeight="1">
      <c r="A642" s="144"/>
      <c r="B642" s="145"/>
      <c r="C642" s="146" t="s">
        <v>465</v>
      </c>
      <c r="D642" s="151"/>
      <c r="E642" s="147">
        <v>16</v>
      </c>
      <c r="F642" s="230">
        <v>221</v>
      </c>
      <c r="G642" s="147"/>
      <c r="H642" s="147">
        <f t="shared" si="492"/>
        <v>221</v>
      </c>
      <c r="I642" s="147"/>
      <c r="J642" s="147">
        <f t="shared" si="495"/>
        <v>221</v>
      </c>
      <c r="K642" s="293">
        <v>153</v>
      </c>
      <c r="L642" s="229">
        <v>130</v>
      </c>
      <c r="M642" s="335">
        <f t="shared" si="483"/>
        <v>-0.41176470588235292</v>
      </c>
      <c r="N642" s="329">
        <f t="shared" si="455"/>
        <v>-91</v>
      </c>
    </row>
    <row r="643" spans="1:14" s="142" customFormat="1" ht="14.1" customHeight="1">
      <c r="A643" s="144"/>
      <c r="B643" s="145"/>
      <c r="C643" s="146" t="s">
        <v>445</v>
      </c>
      <c r="D643" s="151"/>
      <c r="E643" s="147"/>
      <c r="F643" s="230"/>
      <c r="G643" s="242">
        <v>965</v>
      </c>
      <c r="H643" s="147">
        <f t="shared" si="492"/>
        <v>965</v>
      </c>
      <c r="I643" s="147"/>
      <c r="J643" s="147">
        <f t="shared" si="495"/>
        <v>965</v>
      </c>
      <c r="K643" s="293">
        <v>702</v>
      </c>
      <c r="L643" s="229">
        <v>1070</v>
      </c>
      <c r="M643" s="335">
        <f t="shared" si="483"/>
        <v>0.10880829015544041</v>
      </c>
      <c r="N643" s="329">
        <f t="shared" si="455"/>
        <v>105</v>
      </c>
    </row>
    <row r="644" spans="1:14" ht="14.1" customHeight="1">
      <c r="A644" s="32"/>
      <c r="B644" s="33">
        <v>5513</v>
      </c>
      <c r="C644" s="34" t="s">
        <v>254</v>
      </c>
      <c r="D644" s="52">
        <v>768</v>
      </c>
      <c r="E644" s="17">
        <v>768</v>
      </c>
      <c r="F644" s="224">
        <v>800</v>
      </c>
      <c r="G644" s="17"/>
      <c r="H644" s="17">
        <f t="shared" si="492"/>
        <v>800</v>
      </c>
      <c r="I644" s="17">
        <v>-300</v>
      </c>
      <c r="J644" s="17">
        <f t="shared" si="495"/>
        <v>500</v>
      </c>
      <c r="K644" s="17">
        <v>490</v>
      </c>
      <c r="L644" s="226">
        <v>500</v>
      </c>
      <c r="M644" s="335">
        <f t="shared" si="483"/>
        <v>0</v>
      </c>
      <c r="N644" s="329">
        <f t="shared" si="455"/>
        <v>0</v>
      </c>
    </row>
    <row r="645" spans="1:14" ht="14.1" customHeight="1">
      <c r="A645" s="32"/>
      <c r="B645" s="33">
        <v>5514</v>
      </c>
      <c r="C645" s="34" t="s">
        <v>221</v>
      </c>
      <c r="D645" s="52">
        <v>612</v>
      </c>
      <c r="E645" s="17">
        <v>612</v>
      </c>
      <c r="F645" s="224">
        <f>600+250</f>
        <v>850</v>
      </c>
      <c r="G645" s="17"/>
      <c r="H645" s="17">
        <f t="shared" si="492"/>
        <v>850</v>
      </c>
      <c r="I645" s="17">
        <v>-250</v>
      </c>
      <c r="J645" s="17">
        <f t="shared" si="495"/>
        <v>600</v>
      </c>
      <c r="K645" s="17">
        <v>615</v>
      </c>
      <c r="L645" s="226">
        <v>600</v>
      </c>
      <c r="M645" s="335">
        <f t="shared" si="483"/>
        <v>0</v>
      </c>
      <c r="N645" s="329">
        <f t="shared" si="455"/>
        <v>0</v>
      </c>
    </row>
    <row r="646" spans="1:14" ht="14.1" customHeight="1">
      <c r="A646" s="32"/>
      <c r="B646" s="33">
        <v>5515</v>
      </c>
      <c r="C646" s="34" t="s">
        <v>257</v>
      </c>
      <c r="D646" s="52">
        <v>500</v>
      </c>
      <c r="E646" s="17">
        <v>0</v>
      </c>
      <c r="F646" s="224">
        <v>600</v>
      </c>
      <c r="G646" s="17"/>
      <c r="H646" s="17">
        <f t="shared" si="492"/>
        <v>600</v>
      </c>
      <c r="I646" s="17"/>
      <c r="J646" s="17">
        <f t="shared" si="495"/>
        <v>600</v>
      </c>
      <c r="K646" s="17">
        <v>576</v>
      </c>
      <c r="L646" s="226">
        <v>1000</v>
      </c>
      <c r="M646" s="335">
        <f t="shared" si="483"/>
        <v>0.66666666666666663</v>
      </c>
      <c r="N646" s="329">
        <f t="shared" ref="N646:N709" si="496">L646-J646</f>
        <v>400</v>
      </c>
    </row>
    <row r="647" spans="1:14" ht="14.1" customHeight="1">
      <c r="A647" s="32"/>
      <c r="B647" s="33">
        <v>5516</v>
      </c>
      <c r="C647" s="43" t="s">
        <v>375</v>
      </c>
      <c r="D647" s="52"/>
      <c r="E647" s="17"/>
      <c r="F647" s="224"/>
      <c r="G647" s="17"/>
      <c r="H647" s="17"/>
      <c r="I647" s="17"/>
      <c r="J647" s="17"/>
      <c r="K647" s="17"/>
      <c r="L647" s="226">
        <v>250</v>
      </c>
      <c r="M647" s="335"/>
      <c r="N647" s="329">
        <f t="shared" si="496"/>
        <v>250</v>
      </c>
    </row>
    <row r="648" spans="1:14" ht="14.1" customHeight="1">
      <c r="A648" s="32"/>
      <c r="B648" s="33">
        <v>5521</v>
      </c>
      <c r="C648" s="34" t="s">
        <v>418</v>
      </c>
      <c r="D648" s="52">
        <v>0</v>
      </c>
      <c r="E648" s="17">
        <v>0</v>
      </c>
      <c r="F648" s="224">
        <v>150</v>
      </c>
      <c r="G648" s="17"/>
      <c r="H648" s="17">
        <f t="shared" si="492"/>
        <v>150</v>
      </c>
      <c r="I648" s="17"/>
      <c r="J648" s="17">
        <f t="shared" si="495"/>
        <v>150</v>
      </c>
      <c r="K648" s="17">
        <v>47</v>
      </c>
      <c r="L648" s="226">
        <v>150</v>
      </c>
      <c r="M648" s="335">
        <f t="shared" si="483"/>
        <v>0</v>
      </c>
      <c r="N648" s="329">
        <f t="shared" si="496"/>
        <v>0</v>
      </c>
    </row>
    <row r="649" spans="1:14" ht="14.1" customHeight="1">
      <c r="A649" s="32"/>
      <c r="B649" s="33">
        <v>5522</v>
      </c>
      <c r="C649" s="40" t="s">
        <v>262</v>
      </c>
      <c r="D649" s="52">
        <v>50</v>
      </c>
      <c r="E649" s="17">
        <v>50</v>
      </c>
      <c r="F649" s="224">
        <v>100</v>
      </c>
      <c r="G649" s="17"/>
      <c r="H649" s="17">
        <f t="shared" si="492"/>
        <v>100</v>
      </c>
      <c r="I649" s="17"/>
      <c r="J649" s="17">
        <f t="shared" si="495"/>
        <v>100</v>
      </c>
      <c r="K649" s="17">
        <v>28</v>
      </c>
      <c r="L649" s="226">
        <v>100</v>
      </c>
      <c r="M649" s="335">
        <f t="shared" si="483"/>
        <v>0</v>
      </c>
      <c r="N649" s="329">
        <f t="shared" si="496"/>
        <v>0</v>
      </c>
    </row>
    <row r="650" spans="1:14" ht="14.1" customHeight="1">
      <c r="A650" s="32"/>
      <c r="B650" s="33">
        <v>5524</v>
      </c>
      <c r="C650" s="40" t="s">
        <v>466</v>
      </c>
      <c r="D650" s="52"/>
      <c r="E650" s="17">
        <v>0</v>
      </c>
      <c r="F650" s="224">
        <v>150</v>
      </c>
      <c r="G650" s="17">
        <v>-150</v>
      </c>
      <c r="H650" s="17">
        <f t="shared" si="492"/>
        <v>0</v>
      </c>
      <c r="I650" s="17">
        <v>300</v>
      </c>
      <c r="J650" s="17">
        <f t="shared" si="495"/>
        <v>300</v>
      </c>
      <c r="K650" s="17">
        <v>28</v>
      </c>
      <c r="L650" s="226">
        <v>300</v>
      </c>
      <c r="M650" s="335">
        <f t="shared" si="483"/>
        <v>0</v>
      </c>
      <c r="N650" s="329">
        <f t="shared" si="496"/>
        <v>0</v>
      </c>
    </row>
    <row r="651" spans="1:14" ht="14.1" customHeight="1">
      <c r="A651" s="32"/>
      <c r="B651" s="33">
        <v>5525</v>
      </c>
      <c r="C651" s="34" t="s">
        <v>264</v>
      </c>
      <c r="D651" s="52">
        <v>5400</v>
      </c>
      <c r="E651" s="17">
        <v>4855</v>
      </c>
      <c r="F651" s="224">
        <v>5000</v>
      </c>
      <c r="G651" s="17"/>
      <c r="H651" s="17">
        <f t="shared" si="492"/>
        <v>5000</v>
      </c>
      <c r="I651" s="17">
        <v>-500</v>
      </c>
      <c r="J651" s="17">
        <f t="shared" si="495"/>
        <v>4500</v>
      </c>
      <c r="K651" s="17">
        <v>5146</v>
      </c>
      <c r="L651" s="226">
        <v>5500</v>
      </c>
      <c r="M651" s="335">
        <f t="shared" si="483"/>
        <v>0.22222222222222221</v>
      </c>
      <c r="N651" s="329">
        <f t="shared" si="496"/>
        <v>1000</v>
      </c>
    </row>
    <row r="652" spans="1:14" ht="14.1" customHeight="1">
      <c r="A652" s="32"/>
      <c r="B652" s="33">
        <v>5540</v>
      </c>
      <c r="C652" s="43" t="s">
        <v>457</v>
      </c>
      <c r="D652" s="52">
        <v>1100</v>
      </c>
      <c r="E652" s="17">
        <v>1100</v>
      </c>
      <c r="F652" s="224">
        <v>1100</v>
      </c>
      <c r="G652" s="17">
        <v>150</v>
      </c>
      <c r="H652" s="17">
        <f t="shared" si="492"/>
        <v>1250</v>
      </c>
      <c r="I652" s="17"/>
      <c r="J652" s="17">
        <f t="shared" si="495"/>
        <v>1250</v>
      </c>
      <c r="K652" s="17">
        <v>484</v>
      </c>
      <c r="L652" s="226">
        <v>1000</v>
      </c>
      <c r="M652" s="335">
        <f t="shared" si="483"/>
        <v>-0.2</v>
      </c>
      <c r="N652" s="329">
        <f t="shared" si="496"/>
        <v>-250</v>
      </c>
    </row>
    <row r="653" spans="1:14" ht="14.1" customHeight="1">
      <c r="A653" s="45" t="s">
        <v>467</v>
      </c>
      <c r="B653" s="46"/>
      <c r="C653" s="47" t="s">
        <v>468</v>
      </c>
      <c r="D653" s="53">
        <v>38164</v>
      </c>
      <c r="E653" s="50">
        <v>32114</v>
      </c>
      <c r="F653" s="50">
        <f t="shared" ref="F653" si="497">+F654+F655</f>
        <v>44014</v>
      </c>
      <c r="G653" s="50">
        <f t="shared" ref="G653:H653" si="498">+G654+G655</f>
        <v>0</v>
      </c>
      <c r="H653" s="50">
        <f t="shared" si="498"/>
        <v>44014</v>
      </c>
      <c r="I653" s="50">
        <f t="shared" ref="I653:J653" si="499">+I654+I655</f>
        <v>-500</v>
      </c>
      <c r="J653" s="50">
        <f t="shared" si="499"/>
        <v>43514</v>
      </c>
      <c r="K653" s="50">
        <f t="shared" ref="K653:L653" si="500">+K654+K655</f>
        <v>24531.7</v>
      </c>
      <c r="L653" s="50">
        <f t="shared" si="500"/>
        <v>48000</v>
      </c>
      <c r="M653" s="335">
        <f t="shared" si="483"/>
        <v>0.10309325734246449</v>
      </c>
      <c r="N653" s="329">
        <f t="shared" si="496"/>
        <v>4486</v>
      </c>
    </row>
    <row r="654" spans="1:14" ht="14.1" customHeight="1">
      <c r="A654" s="32"/>
      <c r="B654" s="38">
        <v>50</v>
      </c>
      <c r="C654" s="61" t="s">
        <v>211</v>
      </c>
      <c r="D654" s="51">
        <v>17662</v>
      </c>
      <c r="E654" s="143">
        <v>18645</v>
      </c>
      <c r="F654" s="224">
        <v>20407</v>
      </c>
      <c r="G654" s="143"/>
      <c r="H654" s="143">
        <f t="shared" ref="H654" si="501">+G654+F654</f>
        <v>20407</v>
      </c>
      <c r="I654" s="143"/>
      <c r="J654" s="143">
        <f t="shared" ref="J654" si="502">+I654+H654</f>
        <v>20407</v>
      </c>
      <c r="K654" s="143">
        <v>13218</v>
      </c>
      <c r="L654" s="152">
        <v>21000</v>
      </c>
      <c r="M654" s="335">
        <f t="shared" si="483"/>
        <v>2.9058656343411576E-2</v>
      </c>
      <c r="N654" s="329">
        <f t="shared" si="496"/>
        <v>593</v>
      </c>
    </row>
    <row r="655" spans="1:14" ht="14.1" customHeight="1">
      <c r="A655" s="32"/>
      <c r="B655" s="38">
        <v>55</v>
      </c>
      <c r="C655" s="39" t="s">
        <v>213</v>
      </c>
      <c r="D655" s="51">
        <v>20502</v>
      </c>
      <c r="E655" s="137">
        <v>13469</v>
      </c>
      <c r="F655" s="137">
        <f t="shared" ref="F655" si="503">+F656+F658+F659+F669+F670+F671+F673+F674+F675+F676</f>
        <v>23607</v>
      </c>
      <c r="G655" s="137">
        <f t="shared" ref="G655:H655" si="504">+G656+G658+G659+G669+G670+G671+G673+G674+G675+G676</f>
        <v>0</v>
      </c>
      <c r="H655" s="137">
        <f t="shared" si="504"/>
        <v>23607</v>
      </c>
      <c r="I655" s="137">
        <f t="shared" ref="I655:K655" si="505">+I656+I658+I659+I669+I670+I671+I673+I674+I675+I676+I657</f>
        <v>-500</v>
      </c>
      <c r="J655" s="137">
        <f t="shared" si="505"/>
        <v>23107</v>
      </c>
      <c r="K655" s="137">
        <f t="shared" si="505"/>
        <v>11313.7</v>
      </c>
      <c r="L655" s="137">
        <f t="shared" ref="L655" si="506">+L656+L658+L659+L669+L670+L671+L673+L674+L675+L676</f>
        <v>27000</v>
      </c>
      <c r="M655" s="335">
        <f t="shared" si="483"/>
        <v>0.16847708486605789</v>
      </c>
      <c r="N655" s="329">
        <f t="shared" si="496"/>
        <v>3893</v>
      </c>
    </row>
    <row r="656" spans="1:14" ht="14.1" customHeight="1">
      <c r="A656" s="32"/>
      <c r="B656" s="33">
        <v>5500</v>
      </c>
      <c r="C656" s="34" t="s">
        <v>327</v>
      </c>
      <c r="D656" s="52">
        <v>700</v>
      </c>
      <c r="E656" s="17">
        <v>100</v>
      </c>
      <c r="F656" s="224">
        <v>500</v>
      </c>
      <c r="G656" s="17"/>
      <c r="H656" s="17">
        <f>+F656+G656</f>
        <v>500</v>
      </c>
      <c r="I656" s="17">
        <v>300</v>
      </c>
      <c r="J656" s="17">
        <f>+H656+I656</f>
        <v>800</v>
      </c>
      <c r="K656" s="17">
        <v>868</v>
      </c>
      <c r="L656" s="226">
        <v>800</v>
      </c>
      <c r="M656" s="335">
        <f t="shared" si="483"/>
        <v>0</v>
      </c>
      <c r="N656" s="329">
        <f t="shared" si="496"/>
        <v>0</v>
      </c>
    </row>
    <row r="657" spans="1:14" ht="14.1" customHeight="1">
      <c r="A657" s="32"/>
      <c r="B657" s="33">
        <v>5503</v>
      </c>
      <c r="C657" s="40" t="s">
        <v>216</v>
      </c>
      <c r="D657" s="52"/>
      <c r="E657" s="17"/>
      <c r="F657" s="224"/>
      <c r="G657" s="17"/>
      <c r="H657" s="17"/>
      <c r="I657" s="17"/>
      <c r="J657" s="17"/>
      <c r="K657" s="17">
        <v>223.7</v>
      </c>
      <c r="L657" s="226"/>
      <c r="M657" s="335" t="e">
        <f t="shared" si="483"/>
        <v>#DIV/0!</v>
      </c>
      <c r="N657" s="329">
        <f t="shared" si="496"/>
        <v>0</v>
      </c>
    </row>
    <row r="658" spans="1:14" ht="14.1" customHeight="1">
      <c r="A658" s="32"/>
      <c r="B658" s="33">
        <v>5504</v>
      </c>
      <c r="C658" s="34" t="s">
        <v>230</v>
      </c>
      <c r="D658" s="52">
        <v>300</v>
      </c>
      <c r="E658" s="17">
        <v>55</v>
      </c>
      <c r="F658" s="224">
        <v>300</v>
      </c>
      <c r="G658" s="17"/>
      <c r="H658" s="17">
        <f>+F658+G658</f>
        <v>300</v>
      </c>
      <c r="I658" s="17"/>
      <c r="J658" s="17">
        <f>+H658+I658</f>
        <v>300</v>
      </c>
      <c r="K658" s="17">
        <v>50</v>
      </c>
      <c r="L658" s="226">
        <v>200</v>
      </c>
      <c r="M658" s="335">
        <f t="shared" si="483"/>
        <v>-0.33333333333333331</v>
      </c>
      <c r="N658" s="329">
        <f t="shared" si="496"/>
        <v>-100</v>
      </c>
    </row>
    <row r="659" spans="1:14" ht="14.1" customHeight="1">
      <c r="A659" s="32"/>
      <c r="B659" s="33">
        <v>5511</v>
      </c>
      <c r="C659" s="34" t="s">
        <v>453</v>
      </c>
      <c r="D659" s="52">
        <v>11192</v>
      </c>
      <c r="E659" s="17">
        <v>6999</v>
      </c>
      <c r="F659" s="224">
        <f t="shared" ref="F659" si="507">SUM(F660:F667)</f>
        <v>15707</v>
      </c>
      <c r="G659" s="17">
        <f t="shared" ref="G659:K659" si="508">SUM(G660:G668)</f>
        <v>0</v>
      </c>
      <c r="H659" s="17">
        <f t="shared" si="508"/>
        <v>15707</v>
      </c>
      <c r="I659" s="17">
        <f t="shared" si="508"/>
        <v>-50</v>
      </c>
      <c r="J659" s="17">
        <f t="shared" si="508"/>
        <v>15657</v>
      </c>
      <c r="K659" s="17">
        <f t="shared" si="508"/>
        <v>6088</v>
      </c>
      <c r="L659" s="224">
        <f>SUM(L660:L668)</f>
        <v>18300</v>
      </c>
      <c r="M659" s="335">
        <f t="shared" si="483"/>
        <v>0.16880628472887527</v>
      </c>
      <c r="N659" s="329">
        <f t="shared" si="496"/>
        <v>2643</v>
      </c>
    </row>
    <row r="660" spans="1:14" s="150" customFormat="1" ht="14.1" customHeight="1">
      <c r="A660" s="157"/>
      <c r="B660" s="158"/>
      <c r="C660" s="150" t="s">
        <v>463</v>
      </c>
      <c r="D660" s="151">
        <v>0</v>
      </c>
      <c r="E660" s="147">
        <v>0</v>
      </c>
      <c r="F660" s="230">
        <v>0</v>
      </c>
      <c r="G660" s="147"/>
      <c r="H660" s="147">
        <f>+F660+G660</f>
        <v>0</v>
      </c>
      <c r="I660" s="147"/>
      <c r="J660" s="147">
        <f>+H660+I660</f>
        <v>0</v>
      </c>
      <c r="K660" s="147"/>
      <c r="L660" s="229"/>
      <c r="M660" s="335" t="e">
        <f t="shared" si="483"/>
        <v>#DIV/0!</v>
      </c>
      <c r="N660" s="329">
        <f t="shared" si="496"/>
        <v>0</v>
      </c>
    </row>
    <row r="661" spans="1:14" s="150" customFormat="1" ht="14.1" customHeight="1">
      <c r="A661" s="157"/>
      <c r="B661" s="158"/>
      <c r="C661" s="146" t="s">
        <v>235</v>
      </c>
      <c r="D661" s="151">
        <v>5000</v>
      </c>
      <c r="E661" s="147">
        <v>6000</v>
      </c>
      <c r="F661" s="230">
        <v>15000</v>
      </c>
      <c r="G661" s="147">
        <v>-2000</v>
      </c>
      <c r="H661" s="147">
        <f t="shared" ref="H661:H668" si="509">+F661+G661</f>
        <v>13000</v>
      </c>
      <c r="I661" s="147"/>
      <c r="J661" s="147">
        <f t="shared" ref="J661:J668" si="510">+H661+I661</f>
        <v>13000</v>
      </c>
      <c r="K661" s="147">
        <v>4804</v>
      </c>
      <c r="L661" s="229">
        <v>14000</v>
      </c>
      <c r="M661" s="335">
        <f t="shared" si="483"/>
        <v>7.6923076923076927E-2</v>
      </c>
      <c r="N661" s="329">
        <f t="shared" si="496"/>
        <v>1000</v>
      </c>
    </row>
    <row r="662" spans="1:14" s="150" customFormat="1" ht="14.1" customHeight="1">
      <c r="A662" s="157"/>
      <c r="B662" s="158"/>
      <c r="C662" s="146" t="s">
        <v>237</v>
      </c>
      <c r="D662" s="151">
        <v>0</v>
      </c>
      <c r="E662" s="147">
        <v>100</v>
      </c>
      <c r="F662" s="230">
        <v>100</v>
      </c>
      <c r="G662" s="147"/>
      <c r="H662" s="147">
        <f t="shared" si="509"/>
        <v>100</v>
      </c>
      <c r="I662" s="147"/>
      <c r="J662" s="147">
        <f t="shared" si="510"/>
        <v>100</v>
      </c>
      <c r="K662" s="147">
        <v>64</v>
      </c>
      <c r="L662" s="229">
        <v>100</v>
      </c>
      <c r="M662" s="335">
        <f t="shared" si="483"/>
        <v>0</v>
      </c>
      <c r="N662" s="329">
        <f t="shared" si="496"/>
        <v>0</v>
      </c>
    </row>
    <row r="663" spans="1:14" s="150" customFormat="1" ht="14.1" customHeight="1">
      <c r="A663" s="157"/>
      <c r="B663" s="158"/>
      <c r="C663" s="146" t="s">
        <v>239</v>
      </c>
      <c r="D663" s="151">
        <v>1000</v>
      </c>
      <c r="E663" s="147">
        <v>300</v>
      </c>
      <c r="F663" s="230">
        <v>200</v>
      </c>
      <c r="G663" s="147"/>
      <c r="H663" s="147">
        <f t="shared" si="509"/>
        <v>200</v>
      </c>
      <c r="I663" s="147"/>
      <c r="J663" s="147">
        <f t="shared" si="510"/>
        <v>200</v>
      </c>
      <c r="K663" s="147">
        <v>55</v>
      </c>
      <c r="L663" s="229">
        <v>200</v>
      </c>
      <c r="M663" s="335">
        <f t="shared" si="483"/>
        <v>0</v>
      </c>
      <c r="N663" s="329">
        <f t="shared" si="496"/>
        <v>0</v>
      </c>
    </row>
    <row r="664" spans="1:14" s="150" customFormat="1" ht="14.1" customHeight="1">
      <c r="A664" s="157"/>
      <c r="B664" s="158"/>
      <c r="C664" s="146" t="s">
        <v>241</v>
      </c>
      <c r="D664" s="151">
        <v>400</v>
      </c>
      <c r="E664" s="147">
        <v>300</v>
      </c>
      <c r="F664" s="230">
        <v>100</v>
      </c>
      <c r="G664" s="147"/>
      <c r="H664" s="147">
        <f t="shared" si="509"/>
        <v>100</v>
      </c>
      <c r="I664" s="147"/>
      <c r="J664" s="147">
        <f t="shared" si="510"/>
        <v>100</v>
      </c>
      <c r="K664" s="147">
        <v>81</v>
      </c>
      <c r="L664" s="229">
        <v>142</v>
      </c>
      <c r="M664" s="335">
        <f t="shared" si="483"/>
        <v>0.42</v>
      </c>
      <c r="N664" s="329">
        <f t="shared" si="496"/>
        <v>42</v>
      </c>
    </row>
    <row r="665" spans="1:14" s="150" customFormat="1" ht="14.1" customHeight="1">
      <c r="A665" s="157"/>
      <c r="B665" s="158"/>
      <c r="C665" s="146" t="s">
        <v>464</v>
      </c>
      <c r="D665" s="151">
        <v>192</v>
      </c>
      <c r="E665" s="147">
        <v>192</v>
      </c>
      <c r="F665" s="230">
        <v>200</v>
      </c>
      <c r="G665" s="147"/>
      <c r="H665" s="147">
        <f t="shared" si="509"/>
        <v>200</v>
      </c>
      <c r="I665" s="147"/>
      <c r="J665" s="147">
        <f t="shared" si="510"/>
        <v>200</v>
      </c>
      <c r="K665" s="147">
        <v>294</v>
      </c>
      <c r="L665" s="229">
        <v>200</v>
      </c>
      <c r="M665" s="335">
        <f t="shared" si="483"/>
        <v>0</v>
      </c>
      <c r="N665" s="329">
        <f t="shared" si="496"/>
        <v>0</v>
      </c>
    </row>
    <row r="666" spans="1:14" s="150" customFormat="1" ht="14.1" customHeight="1">
      <c r="A666" s="157"/>
      <c r="B666" s="158"/>
      <c r="C666" s="146" t="s">
        <v>364</v>
      </c>
      <c r="D666" s="151">
        <v>4600</v>
      </c>
      <c r="E666" s="147">
        <v>0</v>
      </c>
      <c r="F666" s="230">
        <v>0</v>
      </c>
      <c r="G666" s="147">
        <v>1064</v>
      </c>
      <c r="H666" s="147">
        <f t="shared" si="509"/>
        <v>1064</v>
      </c>
      <c r="I666" s="147">
        <v>-53</v>
      </c>
      <c r="J666" s="147">
        <f t="shared" si="510"/>
        <v>1011</v>
      </c>
      <c r="K666" s="147">
        <v>0</v>
      </c>
      <c r="L666" s="229">
        <f>1000+1500</f>
        <v>2500</v>
      </c>
      <c r="M666" s="335">
        <f t="shared" si="483"/>
        <v>1.4727992087042532</v>
      </c>
      <c r="N666" s="329">
        <f t="shared" si="496"/>
        <v>1489</v>
      </c>
    </row>
    <row r="667" spans="1:14" s="150" customFormat="1" ht="14.1" customHeight="1">
      <c r="A667" s="157"/>
      <c r="B667" s="158"/>
      <c r="C667" s="146" t="s">
        <v>465</v>
      </c>
      <c r="D667" s="151">
        <v>0</v>
      </c>
      <c r="E667" s="147">
        <v>107</v>
      </c>
      <c r="F667" s="230">
        <v>107</v>
      </c>
      <c r="G667" s="147"/>
      <c r="H667" s="147">
        <f t="shared" si="509"/>
        <v>107</v>
      </c>
      <c r="I667" s="147">
        <v>3</v>
      </c>
      <c r="J667" s="147">
        <f t="shared" si="510"/>
        <v>110</v>
      </c>
      <c r="K667" s="147">
        <v>110</v>
      </c>
      <c r="L667" s="229">
        <v>120</v>
      </c>
      <c r="M667" s="335">
        <f t="shared" si="483"/>
        <v>9.0909090909090912E-2</v>
      </c>
      <c r="N667" s="329">
        <f t="shared" si="496"/>
        <v>10</v>
      </c>
    </row>
    <row r="668" spans="1:14" s="150" customFormat="1" ht="14.1" customHeight="1">
      <c r="A668" s="157"/>
      <c r="B668" s="158"/>
      <c r="C668" s="146" t="s">
        <v>445</v>
      </c>
      <c r="D668" s="151"/>
      <c r="E668" s="147"/>
      <c r="F668" s="230"/>
      <c r="G668" s="242">
        <v>936</v>
      </c>
      <c r="H668" s="147">
        <f t="shared" si="509"/>
        <v>936</v>
      </c>
      <c r="I668" s="147"/>
      <c r="J668" s="147">
        <f t="shared" si="510"/>
        <v>936</v>
      </c>
      <c r="K668" s="147">
        <v>680</v>
      </c>
      <c r="L668" s="229">
        <v>1038</v>
      </c>
      <c r="M668" s="335">
        <f t="shared" si="483"/>
        <v>0.10897435897435898</v>
      </c>
      <c r="N668" s="329">
        <f t="shared" si="496"/>
        <v>102</v>
      </c>
    </row>
    <row r="669" spans="1:14" ht="14.1" customHeight="1">
      <c r="A669" s="32"/>
      <c r="B669" s="33">
        <v>5513</v>
      </c>
      <c r="C669" s="34" t="s">
        <v>254</v>
      </c>
      <c r="D669" s="52">
        <v>700</v>
      </c>
      <c r="E669" s="17">
        <v>0</v>
      </c>
      <c r="F669" s="224">
        <v>200</v>
      </c>
      <c r="G669" s="17"/>
      <c r="H669" s="17">
        <f t="shared" ref="H669:H676" si="511">+G669+F669</f>
        <v>200</v>
      </c>
      <c r="I669" s="17"/>
      <c r="J669" s="17">
        <f t="shared" ref="J669:J676" si="512">+I669+H669</f>
        <v>200</v>
      </c>
      <c r="K669" s="17">
        <v>180</v>
      </c>
      <c r="L669" s="226">
        <v>200</v>
      </c>
      <c r="M669" s="335">
        <f t="shared" si="483"/>
        <v>0</v>
      </c>
      <c r="N669" s="329">
        <f t="shared" si="496"/>
        <v>0</v>
      </c>
    </row>
    <row r="670" spans="1:14" ht="14.1" customHeight="1">
      <c r="A670" s="32"/>
      <c r="B670" s="33">
        <v>5514</v>
      </c>
      <c r="C670" s="34" t="s">
        <v>221</v>
      </c>
      <c r="D670" s="52">
        <v>360</v>
      </c>
      <c r="E670" s="17">
        <v>660</v>
      </c>
      <c r="F670" s="224">
        <f>700+250</f>
        <v>950</v>
      </c>
      <c r="G670" s="17"/>
      <c r="H670" s="17">
        <f t="shared" si="511"/>
        <v>950</v>
      </c>
      <c r="I670" s="17">
        <v>-250</v>
      </c>
      <c r="J670" s="17">
        <f t="shared" si="512"/>
        <v>700</v>
      </c>
      <c r="K670" s="17">
        <v>544</v>
      </c>
      <c r="L670" s="226">
        <v>700</v>
      </c>
      <c r="M670" s="335">
        <f t="shared" si="483"/>
        <v>0</v>
      </c>
      <c r="N670" s="329">
        <f t="shared" si="496"/>
        <v>0</v>
      </c>
    </row>
    <row r="671" spans="1:14" ht="14.1" customHeight="1">
      <c r="A671" s="32"/>
      <c r="B671" s="33">
        <v>5515</v>
      </c>
      <c r="C671" s="34" t="s">
        <v>257</v>
      </c>
      <c r="D671" s="52">
        <v>500</v>
      </c>
      <c r="E671" s="17">
        <v>0</v>
      </c>
      <c r="F671" s="224">
        <v>200</v>
      </c>
      <c r="G671" s="17">
        <v>200</v>
      </c>
      <c r="H671" s="17">
        <f t="shared" si="511"/>
        <v>400</v>
      </c>
      <c r="I671" s="17"/>
      <c r="J671" s="17">
        <f t="shared" si="512"/>
        <v>400</v>
      </c>
      <c r="K671" s="17">
        <v>1552</v>
      </c>
      <c r="L671" s="226">
        <v>500</v>
      </c>
      <c r="M671" s="335">
        <f t="shared" si="483"/>
        <v>0.25</v>
      </c>
      <c r="N671" s="329">
        <f t="shared" si="496"/>
        <v>100</v>
      </c>
    </row>
    <row r="672" spans="1:14" ht="14.1" customHeight="1">
      <c r="A672" s="32"/>
      <c r="B672" s="33">
        <v>5516</v>
      </c>
      <c r="C672" s="43" t="s">
        <v>375</v>
      </c>
      <c r="D672" s="52"/>
      <c r="E672" s="17"/>
      <c r="F672" s="224"/>
      <c r="G672" s="17"/>
      <c r="H672" s="17"/>
      <c r="I672" s="17"/>
      <c r="J672" s="17"/>
      <c r="K672" s="17"/>
      <c r="L672" s="226"/>
      <c r="M672" s="335"/>
      <c r="N672" s="329">
        <f t="shared" si="496"/>
        <v>0</v>
      </c>
    </row>
    <row r="673" spans="1:14" ht="14.1" customHeight="1">
      <c r="A673" s="32"/>
      <c r="B673" s="33">
        <v>5521</v>
      </c>
      <c r="C673" s="34" t="s">
        <v>418</v>
      </c>
      <c r="D673" s="52">
        <v>0</v>
      </c>
      <c r="E673" s="17">
        <v>0</v>
      </c>
      <c r="F673" s="224">
        <v>200</v>
      </c>
      <c r="G673" s="17"/>
      <c r="H673" s="17">
        <f t="shared" si="511"/>
        <v>200</v>
      </c>
      <c r="I673" s="17"/>
      <c r="J673" s="17">
        <f t="shared" si="512"/>
        <v>200</v>
      </c>
      <c r="K673" s="17"/>
      <c r="L673" s="226">
        <v>200</v>
      </c>
      <c r="M673" s="335">
        <f t="shared" si="483"/>
        <v>0</v>
      </c>
      <c r="N673" s="329">
        <f t="shared" si="496"/>
        <v>0</v>
      </c>
    </row>
    <row r="674" spans="1:14" ht="14.1" customHeight="1">
      <c r="A674" s="32"/>
      <c r="B674" s="33">
        <v>5522</v>
      </c>
      <c r="C674" s="34" t="s">
        <v>262</v>
      </c>
      <c r="D674" s="52">
        <v>50</v>
      </c>
      <c r="E674" s="17">
        <v>100</v>
      </c>
      <c r="F674" s="224">
        <v>50</v>
      </c>
      <c r="G674" s="17"/>
      <c r="H674" s="17">
        <f t="shared" si="511"/>
        <v>50</v>
      </c>
      <c r="I674" s="17"/>
      <c r="J674" s="17">
        <f t="shared" si="512"/>
        <v>50</v>
      </c>
      <c r="K674" s="17">
        <v>181</v>
      </c>
      <c r="L674" s="226">
        <v>100</v>
      </c>
      <c r="M674" s="335">
        <f t="shared" si="483"/>
        <v>1</v>
      </c>
      <c r="N674" s="329">
        <f t="shared" si="496"/>
        <v>50</v>
      </c>
    </row>
    <row r="675" spans="1:14" ht="14.1" customHeight="1">
      <c r="A675" s="32"/>
      <c r="B675" s="33">
        <v>5525</v>
      </c>
      <c r="C675" s="34" t="s">
        <v>264</v>
      </c>
      <c r="D675" s="52">
        <v>6000</v>
      </c>
      <c r="E675" s="17">
        <v>4855</v>
      </c>
      <c r="F675" s="224">
        <v>5000</v>
      </c>
      <c r="G675" s="17"/>
      <c r="H675" s="17">
        <f t="shared" si="511"/>
        <v>5000</v>
      </c>
      <c r="I675" s="17">
        <v>-500</v>
      </c>
      <c r="J675" s="17">
        <f t="shared" si="512"/>
        <v>4500</v>
      </c>
      <c r="K675" s="17">
        <v>1627</v>
      </c>
      <c r="L675" s="226">
        <v>5500</v>
      </c>
      <c r="M675" s="335">
        <f t="shared" si="483"/>
        <v>0.22222222222222221</v>
      </c>
      <c r="N675" s="329">
        <f t="shared" si="496"/>
        <v>1000</v>
      </c>
    </row>
    <row r="676" spans="1:14" ht="12.95" customHeight="1">
      <c r="A676" s="32"/>
      <c r="B676" s="33">
        <v>5540</v>
      </c>
      <c r="C676" s="34" t="s">
        <v>457</v>
      </c>
      <c r="D676" s="52">
        <v>700</v>
      </c>
      <c r="E676" s="17">
        <v>700</v>
      </c>
      <c r="F676" s="224">
        <v>500</v>
      </c>
      <c r="G676" s="17">
        <v>-200</v>
      </c>
      <c r="H676" s="17">
        <f t="shared" si="511"/>
        <v>300</v>
      </c>
      <c r="I676" s="17"/>
      <c r="J676" s="17">
        <f t="shared" si="512"/>
        <v>300</v>
      </c>
      <c r="K676" s="17"/>
      <c r="L676" s="226">
        <v>500</v>
      </c>
      <c r="M676" s="335">
        <f t="shared" si="483"/>
        <v>0.66666666666666663</v>
      </c>
      <c r="N676" s="329">
        <f t="shared" si="496"/>
        <v>200</v>
      </c>
    </row>
    <row r="677" spans="1:14" ht="14.1" customHeight="1">
      <c r="A677" s="45" t="s">
        <v>469</v>
      </c>
      <c r="B677" s="46"/>
      <c r="C677" s="47" t="s">
        <v>470</v>
      </c>
      <c r="D677" s="53">
        <v>23000</v>
      </c>
      <c r="E677" s="50">
        <v>25390</v>
      </c>
      <c r="F677" s="50">
        <f t="shared" ref="F677" si="513">+F678+F679</f>
        <v>29300</v>
      </c>
      <c r="G677" s="50">
        <f t="shared" ref="G677:H677" si="514">+G678+G679</f>
        <v>0</v>
      </c>
      <c r="H677" s="50">
        <f t="shared" si="514"/>
        <v>29300</v>
      </c>
      <c r="I677" s="50">
        <f t="shared" ref="I677:J677" si="515">+I678+I679</f>
        <v>-500</v>
      </c>
      <c r="J677" s="50">
        <f t="shared" si="515"/>
        <v>28800</v>
      </c>
      <c r="K677" s="50">
        <f t="shared" ref="K677:L677" si="516">+K678+K679</f>
        <v>30893</v>
      </c>
      <c r="L677" s="50">
        <f t="shared" si="516"/>
        <v>30000</v>
      </c>
      <c r="M677" s="335">
        <f t="shared" si="483"/>
        <v>4.1666666666666664E-2</v>
      </c>
      <c r="N677" s="329">
        <f t="shared" si="496"/>
        <v>1200</v>
      </c>
    </row>
    <row r="678" spans="1:14" ht="14.1" customHeight="1">
      <c r="A678" s="37"/>
      <c r="B678" s="38">
        <v>50</v>
      </c>
      <c r="C678" s="39" t="s">
        <v>211</v>
      </c>
      <c r="D678" s="51">
        <v>10000</v>
      </c>
      <c r="E678" s="143">
        <v>12752</v>
      </c>
      <c r="F678" s="224">
        <v>13800</v>
      </c>
      <c r="G678" s="143"/>
      <c r="H678" s="143">
        <f>+F678+G678</f>
        <v>13800</v>
      </c>
      <c r="I678" s="143"/>
      <c r="J678" s="143">
        <f>+H678+I678</f>
        <v>13800</v>
      </c>
      <c r="K678" s="143">
        <v>18747</v>
      </c>
      <c r="L678" s="152">
        <v>14000</v>
      </c>
      <c r="M678" s="335">
        <f t="shared" si="483"/>
        <v>1.4492753623188406E-2</v>
      </c>
      <c r="N678" s="329">
        <f t="shared" si="496"/>
        <v>200</v>
      </c>
    </row>
    <row r="679" spans="1:14" ht="14.1" customHeight="1">
      <c r="A679" s="37"/>
      <c r="B679" s="38">
        <v>55</v>
      </c>
      <c r="C679" s="39" t="s">
        <v>213</v>
      </c>
      <c r="D679" s="51">
        <v>13000</v>
      </c>
      <c r="E679" s="137">
        <v>12638</v>
      </c>
      <c r="F679" s="138">
        <f>F680+F681+F682+F684+F685+F686+F687+F688+F689</f>
        <v>15500</v>
      </c>
      <c r="G679" s="138">
        <f t="shared" ref="G679:H679" si="517">G680+G681+G682+G684+G685+G686+G687+G688+G689</f>
        <v>0</v>
      </c>
      <c r="H679" s="138">
        <f t="shared" si="517"/>
        <v>15500</v>
      </c>
      <c r="I679" s="138">
        <f t="shared" ref="I679:K679" si="518">I680+I681+I682+I684+I685+I686+I687+I688+I689</f>
        <v>-500</v>
      </c>
      <c r="J679" s="138">
        <f t="shared" si="518"/>
        <v>15000</v>
      </c>
      <c r="K679" s="138">
        <f t="shared" si="518"/>
        <v>12146</v>
      </c>
      <c r="L679" s="138">
        <f>L680+L681+L682+L684+L685+L686+L687+L688+L689</f>
        <v>16000</v>
      </c>
      <c r="M679" s="335">
        <f t="shared" si="483"/>
        <v>6.6666666666666666E-2</v>
      </c>
      <c r="N679" s="329">
        <f t="shared" si="496"/>
        <v>1000</v>
      </c>
    </row>
    <row r="680" spans="1:14" ht="14.1" customHeight="1">
      <c r="A680" s="32"/>
      <c r="B680" s="33">
        <v>5500</v>
      </c>
      <c r="C680" s="34" t="s">
        <v>327</v>
      </c>
      <c r="D680" s="52">
        <v>0</v>
      </c>
      <c r="E680" s="17">
        <v>521</v>
      </c>
      <c r="F680" s="226">
        <v>400</v>
      </c>
      <c r="G680" s="17"/>
      <c r="H680" s="17">
        <v>400</v>
      </c>
      <c r="I680" s="17"/>
      <c r="J680" s="17">
        <v>400</v>
      </c>
      <c r="K680" s="17">
        <v>70</v>
      </c>
      <c r="L680" s="226">
        <v>500</v>
      </c>
      <c r="M680" s="335">
        <f t="shared" si="483"/>
        <v>0.25</v>
      </c>
      <c r="N680" s="329">
        <f t="shared" si="496"/>
        <v>100</v>
      </c>
    </row>
    <row r="681" spans="1:14" ht="14.1" customHeight="1">
      <c r="A681" s="32"/>
      <c r="B681" s="33">
        <v>5504</v>
      </c>
      <c r="C681" s="34" t="s">
        <v>230</v>
      </c>
      <c r="D681" s="52"/>
      <c r="E681" s="17">
        <v>386</v>
      </c>
      <c r="F681" s="226">
        <v>400</v>
      </c>
      <c r="G681" s="17"/>
      <c r="H681" s="17">
        <v>400</v>
      </c>
      <c r="I681" s="17"/>
      <c r="J681" s="17">
        <v>400</v>
      </c>
      <c r="K681" s="17">
        <v>70</v>
      </c>
      <c r="L681" s="226">
        <v>400</v>
      </c>
      <c r="M681" s="335">
        <f t="shared" si="483"/>
        <v>0</v>
      </c>
      <c r="N681" s="329">
        <f t="shared" si="496"/>
        <v>0</v>
      </c>
    </row>
    <row r="682" spans="1:14" ht="14.1" customHeight="1">
      <c r="A682" s="32"/>
      <c r="B682" s="33">
        <v>5511</v>
      </c>
      <c r="C682" s="34" t="s">
        <v>453</v>
      </c>
      <c r="D682" s="52">
        <v>0</v>
      </c>
      <c r="E682" s="17">
        <v>60</v>
      </c>
      <c r="F682" s="226">
        <f>F683</f>
        <v>100</v>
      </c>
      <c r="G682" s="17">
        <f t="shared" ref="G682:K682" si="519">G683</f>
        <v>0</v>
      </c>
      <c r="H682" s="17">
        <f t="shared" si="519"/>
        <v>100</v>
      </c>
      <c r="I682" s="17">
        <f t="shared" si="519"/>
        <v>0</v>
      </c>
      <c r="J682" s="17">
        <f t="shared" si="519"/>
        <v>100</v>
      </c>
      <c r="K682" s="17">
        <f t="shared" si="519"/>
        <v>198</v>
      </c>
      <c r="L682" s="226">
        <f>L683</f>
        <v>100</v>
      </c>
      <c r="M682" s="335">
        <f t="shared" si="483"/>
        <v>0</v>
      </c>
      <c r="N682" s="329">
        <f t="shared" si="496"/>
        <v>0</v>
      </c>
    </row>
    <row r="683" spans="1:14" ht="14.1" customHeight="1">
      <c r="A683" s="32"/>
      <c r="B683" s="33"/>
      <c r="C683" s="146" t="s">
        <v>239</v>
      </c>
      <c r="D683" s="52"/>
      <c r="E683" s="70">
        <v>0</v>
      </c>
      <c r="F683" s="228">
        <v>100</v>
      </c>
      <c r="G683" s="70"/>
      <c r="H683" s="147">
        <f t="shared" ref="H683:H689" si="520">+G683+F683</f>
        <v>100</v>
      </c>
      <c r="I683" s="70"/>
      <c r="J683" s="147">
        <f t="shared" ref="J683:J689" si="521">+I683+H683</f>
        <v>100</v>
      </c>
      <c r="K683" s="147">
        <v>198</v>
      </c>
      <c r="L683" s="228">
        <v>100</v>
      </c>
      <c r="M683" s="335">
        <f t="shared" si="483"/>
        <v>0</v>
      </c>
      <c r="N683" s="329">
        <f t="shared" si="496"/>
        <v>0</v>
      </c>
    </row>
    <row r="684" spans="1:14" ht="14.1" customHeight="1">
      <c r="A684" s="32"/>
      <c r="B684" s="33">
        <v>5513</v>
      </c>
      <c r="C684" s="34" t="s">
        <v>254</v>
      </c>
      <c r="D684" s="52">
        <v>0</v>
      </c>
      <c r="E684" s="17">
        <v>1252</v>
      </c>
      <c r="F684" s="226">
        <v>1500</v>
      </c>
      <c r="G684" s="17"/>
      <c r="H684" s="17">
        <f t="shared" si="520"/>
        <v>1500</v>
      </c>
      <c r="I684" s="17"/>
      <c r="J684" s="17">
        <f t="shared" si="521"/>
        <v>1500</v>
      </c>
      <c r="K684" s="17">
        <v>1171</v>
      </c>
      <c r="L684" s="226">
        <v>2200</v>
      </c>
      <c r="M684" s="335">
        <f t="shared" ref="M684:M747" si="522">(L684-J684)/J684</f>
        <v>0.46666666666666667</v>
      </c>
      <c r="N684" s="329">
        <f t="shared" si="496"/>
        <v>700</v>
      </c>
    </row>
    <row r="685" spans="1:14" ht="14.1" customHeight="1">
      <c r="A685" s="32"/>
      <c r="B685" s="33">
        <v>5515</v>
      </c>
      <c r="C685" s="34" t="s">
        <v>257</v>
      </c>
      <c r="D685" s="52">
        <v>0</v>
      </c>
      <c r="E685" s="17">
        <v>0</v>
      </c>
      <c r="F685" s="226">
        <v>0</v>
      </c>
      <c r="G685" s="17"/>
      <c r="H685" s="17">
        <f t="shared" si="520"/>
        <v>0</v>
      </c>
      <c r="I685" s="17"/>
      <c r="J685" s="17">
        <f t="shared" si="521"/>
        <v>0</v>
      </c>
      <c r="K685" s="17">
        <v>110</v>
      </c>
      <c r="L685" s="226"/>
      <c r="M685" s="335" t="e">
        <f t="shared" si="522"/>
        <v>#DIV/0!</v>
      </c>
      <c r="N685" s="329">
        <f t="shared" si="496"/>
        <v>0</v>
      </c>
    </row>
    <row r="686" spans="1:14" ht="14.1" customHeight="1">
      <c r="A686" s="32"/>
      <c r="B686" s="33">
        <v>5521</v>
      </c>
      <c r="C686" s="34" t="s">
        <v>418</v>
      </c>
      <c r="D686" s="52">
        <v>0</v>
      </c>
      <c r="E686" s="17">
        <v>1360</v>
      </c>
      <c r="F686" s="226">
        <v>2000</v>
      </c>
      <c r="G686" s="17"/>
      <c r="H686" s="17">
        <f t="shared" si="520"/>
        <v>2000</v>
      </c>
      <c r="I686" s="17"/>
      <c r="J686" s="17">
        <f t="shared" si="521"/>
        <v>2000</v>
      </c>
      <c r="K686" s="17">
        <v>3317</v>
      </c>
      <c r="L686" s="226">
        <v>2000</v>
      </c>
      <c r="M686" s="335">
        <f t="shared" si="522"/>
        <v>0</v>
      </c>
      <c r="N686" s="329">
        <f t="shared" si="496"/>
        <v>0</v>
      </c>
    </row>
    <row r="687" spans="1:14" ht="14.1" customHeight="1">
      <c r="A687" s="32"/>
      <c r="B687" s="33">
        <v>5522</v>
      </c>
      <c r="C687" s="40" t="s">
        <v>262</v>
      </c>
      <c r="D687" s="52">
        <v>0</v>
      </c>
      <c r="E687" s="17">
        <v>71</v>
      </c>
      <c r="F687" s="226">
        <v>100</v>
      </c>
      <c r="G687" s="17"/>
      <c r="H687" s="17">
        <f t="shared" si="520"/>
        <v>100</v>
      </c>
      <c r="I687" s="17"/>
      <c r="J687" s="17">
        <f t="shared" si="521"/>
        <v>100</v>
      </c>
      <c r="K687" s="17">
        <v>189</v>
      </c>
      <c r="L687" s="226">
        <v>200</v>
      </c>
      <c r="M687" s="335">
        <f t="shared" si="522"/>
        <v>1</v>
      </c>
      <c r="N687" s="329">
        <f t="shared" si="496"/>
        <v>100</v>
      </c>
    </row>
    <row r="688" spans="1:14" ht="14.1" customHeight="1">
      <c r="A688" s="32"/>
      <c r="B688" s="33">
        <v>5525</v>
      </c>
      <c r="C688" s="34" t="s">
        <v>264</v>
      </c>
      <c r="D688" s="52">
        <v>0</v>
      </c>
      <c r="E688" s="17">
        <v>8988</v>
      </c>
      <c r="F688" s="226">
        <v>10000</v>
      </c>
      <c r="G688" s="17"/>
      <c r="H688" s="17">
        <f t="shared" si="520"/>
        <v>10000</v>
      </c>
      <c r="I688" s="17"/>
      <c r="J688" s="17">
        <f t="shared" si="521"/>
        <v>10000</v>
      </c>
      <c r="K688" s="17">
        <v>7021</v>
      </c>
      <c r="L688" s="226">
        <v>10000</v>
      </c>
      <c r="M688" s="335">
        <f t="shared" si="522"/>
        <v>0</v>
      </c>
      <c r="N688" s="329">
        <f t="shared" si="496"/>
        <v>0</v>
      </c>
    </row>
    <row r="689" spans="1:14" ht="14.1" customHeight="1">
      <c r="A689" s="32"/>
      <c r="B689" s="33">
        <v>5540</v>
      </c>
      <c r="C689" s="43" t="s">
        <v>457</v>
      </c>
      <c r="D689" s="52">
        <v>0</v>
      </c>
      <c r="E689" s="17">
        <v>0</v>
      </c>
      <c r="F689" s="226">
        <v>1000</v>
      </c>
      <c r="G689" s="17"/>
      <c r="H689" s="17">
        <f t="shared" si="520"/>
        <v>1000</v>
      </c>
      <c r="I689" s="17">
        <v>-500</v>
      </c>
      <c r="J689" s="17">
        <f t="shared" si="521"/>
        <v>500</v>
      </c>
      <c r="K689" s="17"/>
      <c r="L689" s="226">
        <v>600</v>
      </c>
      <c r="M689" s="335">
        <f t="shared" si="522"/>
        <v>0.2</v>
      </c>
      <c r="N689" s="329">
        <f t="shared" si="496"/>
        <v>100</v>
      </c>
    </row>
    <row r="690" spans="1:14" ht="13.5" customHeight="1">
      <c r="A690" s="45" t="s">
        <v>471</v>
      </c>
      <c r="B690" s="46"/>
      <c r="C690" s="63" t="s">
        <v>472</v>
      </c>
      <c r="D690" s="53">
        <v>14176</v>
      </c>
      <c r="E690" s="54">
        <v>0</v>
      </c>
      <c r="F690" s="54">
        <f t="shared" ref="F690" si="523">+F691+F692</f>
        <v>7000</v>
      </c>
      <c r="G690" s="54">
        <f t="shared" ref="G690:H690" si="524">+G691+G692</f>
        <v>-3000</v>
      </c>
      <c r="H690" s="54">
        <f t="shared" si="524"/>
        <v>4000</v>
      </c>
      <c r="I690" s="54">
        <f t="shared" ref="I690:J690" si="525">+I691+I692</f>
        <v>-500</v>
      </c>
      <c r="J690" s="54">
        <f t="shared" si="525"/>
        <v>3500</v>
      </c>
      <c r="K690" s="54">
        <f t="shared" ref="K690:L690" si="526">+K691+K692</f>
        <v>109</v>
      </c>
      <c r="L690" s="54">
        <f t="shared" si="526"/>
        <v>3500</v>
      </c>
      <c r="M690" s="335">
        <f t="shared" si="522"/>
        <v>0</v>
      </c>
      <c r="N690" s="329">
        <f t="shared" si="496"/>
        <v>0</v>
      </c>
    </row>
    <row r="691" spans="1:14" ht="13.5" customHeight="1">
      <c r="A691" s="37"/>
      <c r="B691" s="38">
        <v>50</v>
      </c>
      <c r="C691" s="39" t="s">
        <v>211</v>
      </c>
      <c r="D691" s="51">
        <v>14176</v>
      </c>
      <c r="E691" s="143">
        <v>0</v>
      </c>
      <c r="F691" s="226">
        <v>0</v>
      </c>
      <c r="G691" s="143"/>
      <c r="H691" s="143">
        <f>+F691+G691</f>
        <v>0</v>
      </c>
      <c r="I691" s="143"/>
      <c r="J691" s="143">
        <f>+H691+I691</f>
        <v>0</v>
      </c>
      <c r="K691" s="143">
        <f>+I691+J691</f>
        <v>0</v>
      </c>
      <c r="L691" s="226">
        <v>0</v>
      </c>
      <c r="M691" s="335" t="e">
        <f t="shared" si="522"/>
        <v>#DIV/0!</v>
      </c>
      <c r="N691" s="329">
        <f t="shared" si="496"/>
        <v>0</v>
      </c>
    </row>
    <row r="692" spans="1:14" ht="13.5" customHeight="1">
      <c r="A692" s="37"/>
      <c r="B692" s="38">
        <v>55</v>
      </c>
      <c r="C692" s="39" t="s">
        <v>213</v>
      </c>
      <c r="D692" s="52"/>
      <c r="E692" s="137">
        <v>0</v>
      </c>
      <c r="F692" s="137">
        <f>F693+F694</f>
        <v>7000</v>
      </c>
      <c r="G692" s="137">
        <f t="shared" ref="G692:H692" si="527">G693+G694</f>
        <v>-3000</v>
      </c>
      <c r="H692" s="137">
        <f t="shared" si="527"/>
        <v>4000</v>
      </c>
      <c r="I692" s="137">
        <f t="shared" ref="I692:K692" si="528">I693+I694</f>
        <v>-500</v>
      </c>
      <c r="J692" s="137">
        <f t="shared" si="528"/>
        <v>3500</v>
      </c>
      <c r="K692" s="137">
        <f t="shared" si="528"/>
        <v>109</v>
      </c>
      <c r="L692" s="137">
        <f>L693+L694</f>
        <v>3500</v>
      </c>
      <c r="M692" s="335">
        <f t="shared" si="522"/>
        <v>0</v>
      </c>
      <c r="N692" s="329">
        <f t="shared" si="496"/>
        <v>0</v>
      </c>
    </row>
    <row r="693" spans="1:14" ht="13.5" customHeight="1">
      <c r="A693" s="37"/>
      <c r="B693" s="33">
        <v>5525</v>
      </c>
      <c r="C693" s="34" t="s">
        <v>264</v>
      </c>
      <c r="D693" s="52"/>
      <c r="E693" s="17"/>
      <c r="F693" s="224">
        <f>5000+1000</f>
        <v>6000</v>
      </c>
      <c r="G693" s="194">
        <v>-3000</v>
      </c>
      <c r="H693" s="17">
        <f t="shared" ref="H693:H694" si="529">+G693+F693</f>
        <v>3000</v>
      </c>
      <c r="I693" s="17"/>
      <c r="J693" s="17">
        <f t="shared" ref="J693:J694" si="530">+I693+H693</f>
        <v>3000</v>
      </c>
      <c r="K693" s="17">
        <v>109</v>
      </c>
      <c r="L693" s="224">
        <v>3000</v>
      </c>
      <c r="M693" s="335">
        <f t="shared" si="522"/>
        <v>0</v>
      </c>
      <c r="N693" s="329">
        <f t="shared" si="496"/>
        <v>0</v>
      </c>
    </row>
    <row r="694" spans="1:14" ht="13.5" customHeight="1">
      <c r="A694" s="37"/>
      <c r="B694" s="33">
        <v>5540</v>
      </c>
      <c r="C694" s="43" t="s">
        <v>457</v>
      </c>
      <c r="D694" s="52"/>
      <c r="E694" s="95"/>
      <c r="F694" s="224">
        <v>1000</v>
      </c>
      <c r="G694" s="17"/>
      <c r="H694" s="17">
        <f t="shared" si="529"/>
        <v>1000</v>
      </c>
      <c r="I694" s="17">
        <v>-500</v>
      </c>
      <c r="J694" s="17">
        <f t="shared" si="530"/>
        <v>500</v>
      </c>
      <c r="K694" s="17"/>
      <c r="L694" s="224">
        <v>500</v>
      </c>
      <c r="M694" s="335">
        <f t="shared" si="522"/>
        <v>0</v>
      </c>
      <c r="N694" s="329">
        <f t="shared" si="496"/>
        <v>0</v>
      </c>
    </row>
    <row r="695" spans="1:14" ht="13.5" customHeight="1">
      <c r="A695" s="56" t="s">
        <v>473</v>
      </c>
      <c r="B695" s="46"/>
      <c r="C695" s="47" t="s">
        <v>474</v>
      </c>
      <c r="D695" s="53">
        <v>135800</v>
      </c>
      <c r="E695" s="50">
        <v>139191</v>
      </c>
      <c r="F695" s="50">
        <f t="shared" ref="F695" si="531">+F696+F697+F698</f>
        <v>160500</v>
      </c>
      <c r="G695" s="50">
        <f t="shared" ref="G695:I695" si="532">+G696+G697+G698</f>
        <v>0</v>
      </c>
      <c r="H695" s="50">
        <f t="shared" ref="H695:J695" si="533">+H696+H697+H698</f>
        <v>160500</v>
      </c>
      <c r="I695" s="50">
        <f t="shared" si="532"/>
        <v>-3000</v>
      </c>
      <c r="J695" s="50">
        <f t="shared" si="533"/>
        <v>157500</v>
      </c>
      <c r="K695" s="50">
        <f t="shared" ref="K695:L695" si="534">+K696+K697+K698</f>
        <v>162716.79999999999</v>
      </c>
      <c r="L695" s="50">
        <f t="shared" si="534"/>
        <v>203000</v>
      </c>
      <c r="M695" s="335">
        <f t="shared" si="522"/>
        <v>0.28888888888888886</v>
      </c>
      <c r="N695" s="329">
        <f t="shared" si="496"/>
        <v>45500</v>
      </c>
    </row>
    <row r="696" spans="1:14" s="7" customFormat="1" ht="14.1" customHeight="1">
      <c r="A696" s="37"/>
      <c r="B696" s="38">
        <v>45</v>
      </c>
      <c r="C696" s="39" t="s">
        <v>475</v>
      </c>
      <c r="D696" s="51">
        <v>65800</v>
      </c>
      <c r="E696" s="140">
        <v>67298</v>
      </c>
      <c r="F696" s="140">
        <v>90000</v>
      </c>
      <c r="G696" s="140"/>
      <c r="H696" s="140">
        <f t="shared" ref="H696:H709" si="535">+G696+F696</f>
        <v>90000</v>
      </c>
      <c r="I696" s="226">
        <f>200+300+500</f>
        <v>1000</v>
      </c>
      <c r="J696" s="140">
        <f t="shared" ref="J696:J697" si="536">+I696+H696</f>
        <v>91000</v>
      </c>
      <c r="K696" s="140">
        <v>100912</v>
      </c>
      <c r="L696" s="141">
        <f>49000+71000+15000</f>
        <v>135000</v>
      </c>
      <c r="M696" s="335">
        <f t="shared" si="522"/>
        <v>0.48351648351648352</v>
      </c>
      <c r="N696" s="329">
        <f t="shared" si="496"/>
        <v>44000</v>
      </c>
    </row>
    <row r="697" spans="1:14" s="8" customFormat="1" ht="14.1" customHeight="1">
      <c r="A697" s="32"/>
      <c r="B697" s="38">
        <v>50</v>
      </c>
      <c r="C697" s="39" t="s">
        <v>211</v>
      </c>
      <c r="D697" s="51">
        <v>5000</v>
      </c>
      <c r="E697" s="143">
        <v>7004</v>
      </c>
      <c r="F697" s="226">
        <v>1500</v>
      </c>
      <c r="G697" s="143"/>
      <c r="H697" s="143">
        <f t="shared" si="535"/>
        <v>1500</v>
      </c>
      <c r="I697" s="143">
        <v>1000</v>
      </c>
      <c r="J697" s="143">
        <f t="shared" si="536"/>
        <v>2500</v>
      </c>
      <c r="K697" s="143">
        <v>2187</v>
      </c>
      <c r="L697" s="143">
        <v>2000</v>
      </c>
      <c r="M697" s="335">
        <f t="shared" si="522"/>
        <v>-0.2</v>
      </c>
      <c r="N697" s="329">
        <f t="shared" si="496"/>
        <v>-500</v>
      </c>
    </row>
    <row r="698" spans="1:14" s="7" customFormat="1" ht="14.1" customHeight="1">
      <c r="A698" s="37"/>
      <c r="B698" s="38">
        <v>55</v>
      </c>
      <c r="C698" s="39" t="s">
        <v>213</v>
      </c>
      <c r="D698" s="51">
        <v>65000</v>
      </c>
      <c r="E698" s="137">
        <v>64889</v>
      </c>
      <c r="F698" s="137">
        <f t="shared" ref="F698" si="537">+F699+F701+F704+F706+F707+F708+F709+F710</f>
        <v>69000</v>
      </c>
      <c r="G698" s="137">
        <f>+G699+G701+G704+G706+G707+G708+G709+G710</f>
        <v>0</v>
      </c>
      <c r="H698" s="137">
        <f>H699+H700+H701+H704+H705+H706+H707+H708+H709+H710</f>
        <v>69000</v>
      </c>
      <c r="I698" s="137">
        <f>+I699+I701+I704+I706+I707+I708+I709+I710</f>
        <v>-5000</v>
      </c>
      <c r="J698" s="137">
        <f>J699+J700+J701+J704+J705+J706+J707+J708+J709+J710</f>
        <v>64000</v>
      </c>
      <c r="K698" s="137">
        <f>K699+K700+K701+K704+K705+K706+K707+K708+K709+K710</f>
        <v>59617.8</v>
      </c>
      <c r="L698" s="137">
        <f t="shared" ref="L698" si="538">L699+L700+L701+L704+L705+L706+L707+L708+L709+L710</f>
        <v>66000</v>
      </c>
      <c r="M698" s="335">
        <f t="shared" si="522"/>
        <v>3.125E-2</v>
      </c>
      <c r="N698" s="329">
        <f t="shared" si="496"/>
        <v>2000</v>
      </c>
    </row>
    <row r="699" spans="1:14" s="7" customFormat="1" ht="14.1" customHeight="1">
      <c r="A699" s="37"/>
      <c r="B699" s="33">
        <v>5500</v>
      </c>
      <c r="C699" s="34" t="s">
        <v>327</v>
      </c>
      <c r="D699" s="52">
        <v>2000</v>
      </c>
      <c r="E699" s="17">
        <v>1500</v>
      </c>
      <c r="F699" s="224">
        <v>1500</v>
      </c>
      <c r="G699" s="17"/>
      <c r="H699" s="17">
        <v>800</v>
      </c>
      <c r="I699" s="17"/>
      <c r="J699" s="17">
        <v>800</v>
      </c>
      <c r="K699" s="17">
        <v>433</v>
      </c>
      <c r="L699" s="226">
        <v>300</v>
      </c>
      <c r="M699" s="335">
        <f t="shared" si="522"/>
        <v>-0.625</v>
      </c>
      <c r="N699" s="329">
        <f t="shared" si="496"/>
        <v>-500</v>
      </c>
    </row>
    <row r="700" spans="1:14" s="7" customFormat="1" ht="14.1" customHeight="1">
      <c r="A700" s="37"/>
      <c r="B700" s="33">
        <v>5504</v>
      </c>
      <c r="C700" s="34" t="s">
        <v>230</v>
      </c>
      <c r="D700" s="52"/>
      <c r="E700" s="17">
        <v>245</v>
      </c>
      <c r="F700" s="224">
        <v>700</v>
      </c>
      <c r="G700" s="17"/>
      <c r="H700" s="17">
        <f t="shared" si="535"/>
        <v>700</v>
      </c>
      <c r="I700" s="17"/>
      <c r="J700" s="17">
        <f t="shared" ref="J700" si="539">+I700+H700</f>
        <v>700</v>
      </c>
      <c r="K700" s="17"/>
      <c r="L700" s="226">
        <v>700</v>
      </c>
      <c r="M700" s="335">
        <f t="shared" si="522"/>
        <v>0</v>
      </c>
      <c r="N700" s="329">
        <f t="shared" si="496"/>
        <v>0</v>
      </c>
    </row>
    <row r="701" spans="1:14" s="7" customFormat="1" ht="14.1" customHeight="1">
      <c r="A701" s="37"/>
      <c r="B701" s="33">
        <v>5511</v>
      </c>
      <c r="C701" s="34" t="s">
        <v>453</v>
      </c>
      <c r="D701" s="52">
        <v>0</v>
      </c>
      <c r="E701" s="17">
        <v>0</v>
      </c>
      <c r="F701" s="224">
        <f t="shared" ref="F701" si="540">SUM(F702:F703)</f>
        <v>0</v>
      </c>
      <c r="G701" s="17">
        <f t="shared" ref="G701:H701" si="541">SUM(G702:G703)</f>
        <v>0</v>
      </c>
      <c r="H701" s="17">
        <f t="shared" si="541"/>
        <v>0</v>
      </c>
      <c r="I701" s="17">
        <f t="shared" ref="I701:K701" si="542">SUM(I702:I703)</f>
        <v>0</v>
      </c>
      <c r="J701" s="17">
        <f t="shared" si="542"/>
        <v>0</v>
      </c>
      <c r="K701" s="17">
        <f t="shared" si="542"/>
        <v>9</v>
      </c>
      <c r="L701" s="226">
        <f t="shared" ref="L701" si="543">SUM(L702:L703)</f>
        <v>0</v>
      </c>
      <c r="M701" s="335" t="e">
        <f t="shared" si="522"/>
        <v>#DIV/0!</v>
      </c>
      <c r="N701" s="329">
        <f t="shared" si="496"/>
        <v>0</v>
      </c>
    </row>
    <row r="702" spans="1:14" s="168" customFormat="1" ht="14.1" customHeight="1">
      <c r="A702" s="167"/>
      <c r="B702" s="145"/>
      <c r="C702" s="156" t="s">
        <v>454</v>
      </c>
      <c r="D702" s="151">
        <v>200</v>
      </c>
      <c r="E702" s="147">
        <v>0</v>
      </c>
      <c r="F702" s="230">
        <f>F703+F704</f>
        <v>0</v>
      </c>
      <c r="G702" s="147"/>
      <c r="H702" s="147">
        <f t="shared" si="535"/>
        <v>0</v>
      </c>
      <c r="I702" s="147"/>
      <c r="J702" s="147">
        <f t="shared" ref="J702:J709" si="544">+I702+H702</f>
        <v>0</v>
      </c>
      <c r="K702" s="147">
        <v>9</v>
      </c>
      <c r="L702" s="229">
        <f>L703+L704</f>
        <v>0</v>
      </c>
      <c r="M702" s="335" t="e">
        <f t="shared" si="522"/>
        <v>#DIV/0!</v>
      </c>
      <c r="N702" s="329">
        <f t="shared" si="496"/>
        <v>0</v>
      </c>
    </row>
    <row r="703" spans="1:14" s="168" customFormat="1" ht="14.1" customHeight="1">
      <c r="A703" s="167"/>
      <c r="B703" s="145"/>
      <c r="C703" s="156" t="s">
        <v>455</v>
      </c>
      <c r="D703" s="151">
        <v>0</v>
      </c>
      <c r="E703" s="147">
        <v>0</v>
      </c>
      <c r="F703" s="230">
        <v>0</v>
      </c>
      <c r="G703" s="147"/>
      <c r="H703" s="147">
        <f t="shared" si="535"/>
        <v>0</v>
      </c>
      <c r="I703" s="147"/>
      <c r="J703" s="147">
        <f t="shared" si="544"/>
        <v>0</v>
      </c>
      <c r="K703" s="147"/>
      <c r="L703" s="229">
        <v>0</v>
      </c>
      <c r="M703" s="335" t="e">
        <f t="shared" si="522"/>
        <v>#DIV/0!</v>
      </c>
      <c r="N703" s="329">
        <f t="shared" si="496"/>
        <v>0</v>
      </c>
    </row>
    <row r="704" spans="1:14" s="7" customFormat="1" ht="14.1" customHeight="1">
      <c r="A704" s="37"/>
      <c r="B704" s="33">
        <v>5513</v>
      </c>
      <c r="C704" s="34" t="s">
        <v>254</v>
      </c>
      <c r="D704" s="52">
        <v>0</v>
      </c>
      <c r="E704" s="17">
        <v>0</v>
      </c>
      <c r="F704" s="224">
        <v>0</v>
      </c>
      <c r="G704" s="17"/>
      <c r="H704" s="17">
        <f t="shared" si="535"/>
        <v>0</v>
      </c>
      <c r="I704" s="17"/>
      <c r="J704" s="17">
        <f t="shared" si="544"/>
        <v>0</v>
      </c>
      <c r="K704" s="17"/>
      <c r="L704" s="226">
        <v>0</v>
      </c>
      <c r="M704" s="335" t="e">
        <f t="shared" si="522"/>
        <v>#DIV/0!</v>
      </c>
      <c r="N704" s="329">
        <f t="shared" si="496"/>
        <v>0</v>
      </c>
    </row>
    <row r="705" spans="1:14" s="7" customFormat="1" ht="14.1" customHeight="1">
      <c r="A705" s="37"/>
      <c r="B705" s="33">
        <v>5514</v>
      </c>
      <c r="C705" s="34" t="s">
        <v>221</v>
      </c>
      <c r="D705" s="52"/>
      <c r="E705" s="17">
        <v>374</v>
      </c>
      <c r="F705" s="224">
        <v>400</v>
      </c>
      <c r="G705" s="17"/>
      <c r="H705" s="17">
        <f t="shared" si="535"/>
        <v>400</v>
      </c>
      <c r="I705" s="17"/>
      <c r="J705" s="17">
        <f t="shared" si="544"/>
        <v>400</v>
      </c>
      <c r="K705" s="17">
        <v>244.8</v>
      </c>
      <c r="L705" s="226"/>
      <c r="M705" s="335">
        <f t="shared" si="522"/>
        <v>-1</v>
      </c>
      <c r="N705" s="329">
        <f t="shared" si="496"/>
        <v>-400</v>
      </c>
    </row>
    <row r="706" spans="1:14" s="7" customFormat="1" ht="14.1" customHeight="1">
      <c r="A706" s="37"/>
      <c r="B706" s="33">
        <v>5515</v>
      </c>
      <c r="C706" s="34" t="s">
        <v>257</v>
      </c>
      <c r="D706" s="52">
        <v>2000</v>
      </c>
      <c r="E706" s="17">
        <v>0</v>
      </c>
      <c r="F706" s="224">
        <v>0</v>
      </c>
      <c r="G706" s="17"/>
      <c r="H706" s="17">
        <f t="shared" si="535"/>
        <v>0</v>
      </c>
      <c r="I706" s="17"/>
      <c r="J706" s="17">
        <f t="shared" si="544"/>
        <v>0</v>
      </c>
      <c r="K706" s="17"/>
      <c r="L706" s="226"/>
      <c r="M706" s="335" t="e">
        <f t="shared" si="522"/>
        <v>#DIV/0!</v>
      </c>
      <c r="N706" s="329">
        <f t="shared" si="496"/>
        <v>0</v>
      </c>
    </row>
    <row r="707" spans="1:14" s="7" customFormat="1" ht="14.1" customHeight="1">
      <c r="A707" s="37"/>
      <c r="B707" s="33">
        <v>5521</v>
      </c>
      <c r="C707" s="34" t="s">
        <v>418</v>
      </c>
      <c r="D707" s="52">
        <v>0</v>
      </c>
      <c r="E707" s="17">
        <v>70</v>
      </c>
      <c r="F707" s="224">
        <v>100</v>
      </c>
      <c r="G707" s="17"/>
      <c r="H707" s="17">
        <f t="shared" si="535"/>
        <v>100</v>
      </c>
      <c r="I707" s="17"/>
      <c r="J707" s="17">
        <f t="shared" si="544"/>
        <v>100</v>
      </c>
      <c r="K707" s="17"/>
      <c r="L707" s="226"/>
      <c r="M707" s="335">
        <f t="shared" si="522"/>
        <v>-1</v>
      </c>
      <c r="N707" s="329">
        <f t="shared" si="496"/>
        <v>-100</v>
      </c>
    </row>
    <row r="708" spans="1:14" s="7" customFormat="1" ht="14.1" customHeight="1">
      <c r="A708" s="37"/>
      <c r="B708" s="33">
        <v>5522</v>
      </c>
      <c r="C708" s="58" t="s">
        <v>262</v>
      </c>
      <c r="D708" s="52">
        <v>0</v>
      </c>
      <c r="E708" s="17">
        <v>0</v>
      </c>
      <c r="F708" s="224">
        <v>0</v>
      </c>
      <c r="G708" s="17"/>
      <c r="H708" s="17">
        <f t="shared" si="535"/>
        <v>0</v>
      </c>
      <c r="I708" s="17"/>
      <c r="J708" s="17">
        <f t="shared" si="544"/>
        <v>0</v>
      </c>
      <c r="K708" s="17"/>
      <c r="L708" s="226"/>
      <c r="M708" s="335" t="e">
        <f t="shared" si="522"/>
        <v>#DIV/0!</v>
      </c>
      <c r="N708" s="329">
        <f t="shared" si="496"/>
        <v>0</v>
      </c>
    </row>
    <row r="709" spans="1:14" s="7" customFormat="1" ht="14.1" customHeight="1">
      <c r="A709" s="37"/>
      <c r="B709" s="33">
        <v>5525</v>
      </c>
      <c r="C709" s="34" t="s">
        <v>476</v>
      </c>
      <c r="D709" s="52">
        <v>60000</v>
      </c>
      <c r="E709" s="17">
        <v>62000</v>
      </c>
      <c r="F709" s="224">
        <v>67000</v>
      </c>
      <c r="G709" s="17"/>
      <c r="H709" s="17">
        <f t="shared" si="535"/>
        <v>67000</v>
      </c>
      <c r="I709" s="17">
        <v>-5000</v>
      </c>
      <c r="J709" s="17">
        <f t="shared" si="544"/>
        <v>62000</v>
      </c>
      <c r="K709" s="17">
        <v>58931</v>
      </c>
      <c r="L709" s="226">
        <v>65000</v>
      </c>
      <c r="M709" s="335">
        <f t="shared" si="522"/>
        <v>4.8387096774193547E-2</v>
      </c>
      <c r="N709" s="329">
        <f t="shared" si="496"/>
        <v>3000</v>
      </c>
    </row>
    <row r="710" spans="1:14" s="7" customFormat="1" ht="14.1" customHeight="1">
      <c r="A710" s="37"/>
      <c r="B710" s="33">
        <v>5540</v>
      </c>
      <c r="C710" s="43" t="s">
        <v>477</v>
      </c>
      <c r="D710" s="51">
        <v>1000</v>
      </c>
      <c r="E710" s="17">
        <v>700</v>
      </c>
      <c r="F710" s="224">
        <v>400</v>
      </c>
      <c r="G710" s="17"/>
      <c r="H710" s="17">
        <v>0</v>
      </c>
      <c r="I710" s="17"/>
      <c r="J710" s="17">
        <v>0</v>
      </c>
      <c r="K710" s="17"/>
      <c r="L710" s="226"/>
      <c r="M710" s="335" t="e">
        <f t="shared" si="522"/>
        <v>#DIV/0!</v>
      </c>
      <c r="N710" s="329">
        <f t="shared" ref="N710:N773" si="545">L710-J710</f>
        <v>0</v>
      </c>
    </row>
    <row r="711" spans="1:14" ht="14.1" customHeight="1">
      <c r="A711" s="45" t="s">
        <v>478</v>
      </c>
      <c r="B711" s="46"/>
      <c r="C711" s="47" t="s">
        <v>479</v>
      </c>
      <c r="D711" s="53">
        <v>43171</v>
      </c>
      <c r="E711" s="50">
        <v>44256</v>
      </c>
      <c r="F711" s="50">
        <f t="shared" ref="F711:J711" si="546">+F712+F713+F714</f>
        <v>48479</v>
      </c>
      <c r="G711" s="50">
        <f t="shared" si="546"/>
        <v>0</v>
      </c>
      <c r="H711" s="50">
        <f t="shared" si="546"/>
        <v>48479</v>
      </c>
      <c r="I711" s="50">
        <f t="shared" si="546"/>
        <v>-500</v>
      </c>
      <c r="J711" s="50">
        <f t="shared" si="546"/>
        <v>47979</v>
      </c>
      <c r="K711" s="50">
        <f t="shared" ref="K711:L711" si="547">+K712+K713+K714</f>
        <v>35211.479999999996</v>
      </c>
      <c r="L711" s="50">
        <f t="shared" si="547"/>
        <v>48500</v>
      </c>
      <c r="M711" s="335">
        <f t="shared" si="522"/>
        <v>1.0858917443048E-2</v>
      </c>
      <c r="N711" s="329">
        <f t="shared" si="545"/>
        <v>521</v>
      </c>
    </row>
    <row r="712" spans="1:14" ht="14.1" customHeight="1">
      <c r="A712" s="37"/>
      <c r="B712" s="38">
        <v>45</v>
      </c>
      <c r="C712" s="39" t="s">
        <v>480</v>
      </c>
      <c r="D712" s="51">
        <v>0</v>
      </c>
      <c r="E712" s="140">
        <v>0</v>
      </c>
      <c r="F712" s="140">
        <v>0</v>
      </c>
      <c r="G712" s="140">
        <v>0</v>
      </c>
      <c r="H712" s="140">
        <f>+F712+G712</f>
        <v>0</v>
      </c>
      <c r="I712" s="140">
        <v>0</v>
      </c>
      <c r="J712" s="140">
        <f>+H712+I712</f>
        <v>0</v>
      </c>
      <c r="K712" s="140">
        <f>+I712+J712</f>
        <v>0</v>
      </c>
      <c r="L712" s="140">
        <v>0</v>
      </c>
      <c r="M712" s="335" t="e">
        <f t="shared" si="522"/>
        <v>#DIV/0!</v>
      </c>
      <c r="N712" s="329">
        <f t="shared" si="545"/>
        <v>0</v>
      </c>
    </row>
    <row r="713" spans="1:14" ht="14.1" customHeight="1">
      <c r="A713" s="32"/>
      <c r="B713" s="38" t="s">
        <v>210</v>
      </c>
      <c r="C713" s="39" t="s">
        <v>211</v>
      </c>
      <c r="D713" s="51">
        <v>31181</v>
      </c>
      <c r="E713" s="143">
        <v>32758</v>
      </c>
      <c r="F713" s="226">
        <v>37699</v>
      </c>
      <c r="G713" s="143"/>
      <c r="H713" s="143">
        <f t="shared" ref="H713" si="548">+G713+F713</f>
        <v>37699</v>
      </c>
      <c r="I713" s="143"/>
      <c r="J713" s="143">
        <f t="shared" ref="J713" si="549">+I713+H713</f>
        <v>37699</v>
      </c>
      <c r="K713" s="143">
        <v>28378</v>
      </c>
      <c r="L713" s="152">
        <v>38500</v>
      </c>
      <c r="M713" s="335">
        <f t="shared" si="522"/>
        <v>2.1247247937611076E-2</v>
      </c>
      <c r="N713" s="329">
        <f t="shared" si="545"/>
        <v>801</v>
      </c>
    </row>
    <row r="714" spans="1:14" ht="14.1" customHeight="1">
      <c r="A714" s="32"/>
      <c r="B714" s="38" t="s">
        <v>212</v>
      </c>
      <c r="C714" s="39" t="s">
        <v>213</v>
      </c>
      <c r="D714" s="51">
        <v>11990</v>
      </c>
      <c r="E714" s="137">
        <v>11498</v>
      </c>
      <c r="F714" s="137">
        <f>+F715+F716+F717+F718+F721+F722+F723+F725+F726+F727+F728+F724</f>
        <v>10780</v>
      </c>
      <c r="G714" s="137">
        <f t="shared" ref="G714:H714" si="550">+G715+G716+G717+G718+G721+G722+G723+G725+G726+G727+G728+G724</f>
        <v>0</v>
      </c>
      <c r="H714" s="137">
        <f t="shared" si="550"/>
        <v>10780</v>
      </c>
      <c r="I714" s="137">
        <f t="shared" ref="I714:K714" si="551">+I715+I716+I717+I718+I721+I722+I723+I725+I726+I727+I728+I724</f>
        <v>-500</v>
      </c>
      <c r="J714" s="137">
        <f t="shared" si="551"/>
        <v>10280</v>
      </c>
      <c r="K714" s="137">
        <f t="shared" si="551"/>
        <v>6833.48</v>
      </c>
      <c r="L714" s="137">
        <f>+L715+L716+L717+L718+L721+L722+L723+L725+L726+L727+L728+L724</f>
        <v>10000</v>
      </c>
      <c r="M714" s="335">
        <f t="shared" si="522"/>
        <v>-2.7237354085603113E-2</v>
      </c>
      <c r="N714" s="329">
        <f t="shared" si="545"/>
        <v>-280</v>
      </c>
    </row>
    <row r="715" spans="1:14" ht="14.1" customHeight="1">
      <c r="A715" s="32"/>
      <c r="B715" s="33" t="s">
        <v>214</v>
      </c>
      <c r="C715" s="58" t="s">
        <v>327</v>
      </c>
      <c r="D715" s="52">
        <v>2350</v>
      </c>
      <c r="E715" s="17">
        <v>2200</v>
      </c>
      <c r="F715" s="224">
        <v>1600</v>
      </c>
      <c r="G715" s="17"/>
      <c r="H715" s="17">
        <f t="shared" ref="H715:H716" si="552">+F715+G715</f>
        <v>1600</v>
      </c>
      <c r="I715" s="17">
        <v>-500</v>
      </c>
      <c r="J715" s="17">
        <f t="shared" ref="J715:J716" si="553">+H715+I715</f>
        <v>1100</v>
      </c>
      <c r="K715" s="17">
        <v>1037</v>
      </c>
      <c r="L715" s="226">
        <v>1500</v>
      </c>
      <c r="M715" s="335">
        <f t="shared" si="522"/>
        <v>0.36363636363636365</v>
      </c>
      <c r="N715" s="329">
        <f t="shared" si="545"/>
        <v>400</v>
      </c>
    </row>
    <row r="716" spans="1:14" ht="14.1" customHeight="1">
      <c r="A716" s="32"/>
      <c r="B716" s="33">
        <v>5503</v>
      </c>
      <c r="C716" s="40" t="s">
        <v>216</v>
      </c>
      <c r="D716" s="52">
        <v>0</v>
      </c>
      <c r="E716" s="17">
        <v>0</v>
      </c>
      <c r="F716" s="224">
        <v>300</v>
      </c>
      <c r="G716" s="17"/>
      <c r="H716" s="17">
        <f t="shared" si="552"/>
        <v>300</v>
      </c>
      <c r="I716" s="17"/>
      <c r="J716" s="17">
        <f t="shared" si="553"/>
        <v>300</v>
      </c>
      <c r="K716" s="17"/>
      <c r="L716" s="226"/>
      <c r="M716" s="335">
        <f t="shared" si="522"/>
        <v>-1</v>
      </c>
      <c r="N716" s="329">
        <f t="shared" si="545"/>
        <v>-300</v>
      </c>
    </row>
    <row r="717" spans="1:14" ht="14.1" customHeight="1">
      <c r="A717" s="32"/>
      <c r="B717" s="33" t="s">
        <v>217</v>
      </c>
      <c r="C717" s="58" t="s">
        <v>230</v>
      </c>
      <c r="D717" s="52">
        <v>500</v>
      </c>
      <c r="E717" s="17">
        <v>300</v>
      </c>
      <c r="F717" s="224">
        <v>600</v>
      </c>
      <c r="G717" s="17"/>
      <c r="H717" s="17">
        <f>+F717+G717</f>
        <v>600</v>
      </c>
      <c r="I717" s="17"/>
      <c r="J717" s="17">
        <f>+H717+I717</f>
        <v>600</v>
      </c>
      <c r="K717" s="17">
        <v>335</v>
      </c>
      <c r="L717" s="226">
        <v>500</v>
      </c>
      <c r="M717" s="335">
        <f t="shared" si="522"/>
        <v>-0.16666666666666666</v>
      </c>
      <c r="N717" s="329">
        <f t="shared" si="545"/>
        <v>-100</v>
      </c>
    </row>
    <row r="718" spans="1:14" ht="14.1" customHeight="1">
      <c r="A718" s="32"/>
      <c r="B718" s="33">
        <v>5511</v>
      </c>
      <c r="C718" s="58" t="s">
        <v>453</v>
      </c>
      <c r="D718" s="52">
        <v>0</v>
      </c>
      <c r="E718" s="17">
        <v>1000</v>
      </c>
      <c r="F718" s="224">
        <f t="shared" ref="F718" si="554">SUM(F719:F720)</f>
        <v>800</v>
      </c>
      <c r="G718" s="17">
        <f t="shared" ref="G718:H718" si="555">SUM(G719:G720)</f>
        <v>0</v>
      </c>
      <c r="H718" s="17">
        <f t="shared" si="555"/>
        <v>800</v>
      </c>
      <c r="I718" s="17">
        <f t="shared" ref="I718:L718" si="556">SUM(I719:I720)</f>
        <v>0</v>
      </c>
      <c r="J718" s="17">
        <f t="shared" si="556"/>
        <v>800</v>
      </c>
      <c r="K718" s="17">
        <f t="shared" si="556"/>
        <v>577.4</v>
      </c>
      <c r="L718" s="226">
        <f t="shared" si="556"/>
        <v>800</v>
      </c>
      <c r="M718" s="335">
        <f t="shared" si="522"/>
        <v>0</v>
      </c>
      <c r="N718" s="329">
        <f t="shared" si="545"/>
        <v>0</v>
      </c>
    </row>
    <row r="719" spans="1:14" ht="14.1" customHeight="1">
      <c r="A719" s="167"/>
      <c r="B719" s="145"/>
      <c r="C719" s="156" t="s">
        <v>481</v>
      </c>
      <c r="D719" s="151">
        <v>200</v>
      </c>
      <c r="E719" s="147">
        <v>1000</v>
      </c>
      <c r="F719" s="230">
        <v>100</v>
      </c>
      <c r="G719" s="147"/>
      <c r="H719" s="147">
        <f t="shared" ref="H719:H720" si="557">+G719+F719</f>
        <v>100</v>
      </c>
      <c r="I719" s="147"/>
      <c r="J719" s="147">
        <f t="shared" ref="J719:J720" si="558">+I719+H719</f>
        <v>100</v>
      </c>
      <c r="K719" s="147">
        <v>7.4</v>
      </c>
      <c r="L719" s="229"/>
      <c r="M719" s="335">
        <f t="shared" si="522"/>
        <v>-1</v>
      </c>
      <c r="N719" s="329">
        <f t="shared" si="545"/>
        <v>-100</v>
      </c>
    </row>
    <row r="720" spans="1:14" ht="14.1" customHeight="1">
      <c r="A720" s="167"/>
      <c r="B720" s="145"/>
      <c r="C720" s="156" t="s">
        <v>482</v>
      </c>
      <c r="D720" s="151">
        <v>0</v>
      </c>
      <c r="E720" s="147">
        <v>0</v>
      </c>
      <c r="F720" s="230">
        <v>700</v>
      </c>
      <c r="G720" s="147"/>
      <c r="H720" s="147">
        <f t="shared" si="557"/>
        <v>700</v>
      </c>
      <c r="I720" s="147"/>
      <c r="J720" s="147">
        <f t="shared" si="558"/>
        <v>700</v>
      </c>
      <c r="K720" s="147">
        <v>570</v>
      </c>
      <c r="L720" s="229">
        <v>800</v>
      </c>
      <c r="M720" s="335">
        <f t="shared" si="522"/>
        <v>0.14285714285714285</v>
      </c>
      <c r="N720" s="329">
        <f t="shared" si="545"/>
        <v>100</v>
      </c>
    </row>
    <row r="721" spans="1:14" ht="14.1" customHeight="1">
      <c r="A721" s="32"/>
      <c r="B721" s="33">
        <v>5513</v>
      </c>
      <c r="C721" s="58" t="s">
        <v>254</v>
      </c>
      <c r="D721" s="52">
        <v>0</v>
      </c>
      <c r="E721" s="17">
        <v>0</v>
      </c>
      <c r="F721" s="224">
        <v>0</v>
      </c>
      <c r="G721" s="17"/>
      <c r="H721" s="17">
        <f t="shared" ref="H721:H727" si="559">+F721+G721</f>
        <v>0</v>
      </c>
      <c r="I721" s="17"/>
      <c r="J721" s="17">
        <f t="shared" ref="J721:J727" si="560">+H721+I721</f>
        <v>0</v>
      </c>
      <c r="K721" s="17"/>
      <c r="L721" s="226">
        <v>0</v>
      </c>
      <c r="M721" s="335" t="e">
        <f t="shared" si="522"/>
        <v>#DIV/0!</v>
      </c>
      <c r="N721" s="329">
        <f t="shared" si="545"/>
        <v>0</v>
      </c>
    </row>
    <row r="722" spans="1:14" ht="14.1" customHeight="1">
      <c r="A722" s="32"/>
      <c r="B722" s="33" t="s">
        <v>255</v>
      </c>
      <c r="C722" s="58" t="s">
        <v>221</v>
      </c>
      <c r="D722" s="52">
        <v>240</v>
      </c>
      <c r="E722" s="17">
        <v>240</v>
      </c>
      <c r="F722" s="224">
        <v>300</v>
      </c>
      <c r="G722" s="17"/>
      <c r="H722" s="17">
        <f t="shared" si="559"/>
        <v>300</v>
      </c>
      <c r="I722" s="17">
        <v>300</v>
      </c>
      <c r="J722" s="17">
        <f t="shared" si="560"/>
        <v>600</v>
      </c>
      <c r="K722" s="17">
        <v>281</v>
      </c>
      <c r="L722" s="226">
        <v>400</v>
      </c>
      <c r="M722" s="335">
        <f t="shared" si="522"/>
        <v>-0.33333333333333331</v>
      </c>
      <c r="N722" s="329">
        <f t="shared" si="545"/>
        <v>-200</v>
      </c>
    </row>
    <row r="723" spans="1:14" ht="14.1" customHeight="1">
      <c r="A723" s="32"/>
      <c r="B723" s="33" t="s">
        <v>256</v>
      </c>
      <c r="C723" s="58" t="s">
        <v>257</v>
      </c>
      <c r="D723" s="52">
        <v>3500</v>
      </c>
      <c r="E723" s="17">
        <v>294</v>
      </c>
      <c r="F723" s="224">
        <v>300</v>
      </c>
      <c r="G723" s="17"/>
      <c r="H723" s="17">
        <f t="shared" si="559"/>
        <v>300</v>
      </c>
      <c r="I723" s="17">
        <v>-220</v>
      </c>
      <c r="J723" s="17">
        <f t="shared" si="560"/>
        <v>80</v>
      </c>
      <c r="K723" s="17"/>
      <c r="L723" s="226">
        <v>100</v>
      </c>
      <c r="M723" s="335">
        <f t="shared" si="522"/>
        <v>0.25</v>
      </c>
      <c r="N723" s="329">
        <f t="shared" si="545"/>
        <v>20</v>
      </c>
    </row>
    <row r="724" spans="1:14" ht="14.1" customHeight="1">
      <c r="A724" s="32"/>
      <c r="B724" s="33">
        <v>5521</v>
      </c>
      <c r="C724" s="34" t="s">
        <v>418</v>
      </c>
      <c r="D724" s="52"/>
      <c r="E724" s="17">
        <v>0</v>
      </c>
      <c r="F724" s="224">
        <v>80</v>
      </c>
      <c r="G724" s="17"/>
      <c r="H724" s="17">
        <f t="shared" si="559"/>
        <v>80</v>
      </c>
      <c r="I724" s="17">
        <v>-80</v>
      </c>
      <c r="J724" s="17">
        <f t="shared" si="560"/>
        <v>0</v>
      </c>
      <c r="K724" s="17"/>
      <c r="L724" s="226"/>
      <c r="M724" s="335" t="e">
        <f t="shared" si="522"/>
        <v>#DIV/0!</v>
      </c>
      <c r="N724" s="329">
        <f t="shared" si="545"/>
        <v>0</v>
      </c>
    </row>
    <row r="725" spans="1:14" ht="14.1" customHeight="1">
      <c r="A725" s="32"/>
      <c r="B725" s="33" t="s">
        <v>261</v>
      </c>
      <c r="C725" s="58" t="s">
        <v>262</v>
      </c>
      <c r="D725" s="52">
        <v>100</v>
      </c>
      <c r="E725" s="17">
        <v>284</v>
      </c>
      <c r="F725" s="224">
        <v>100</v>
      </c>
      <c r="G725" s="17"/>
      <c r="H725" s="17">
        <f t="shared" si="559"/>
        <v>100</v>
      </c>
      <c r="I725" s="17"/>
      <c r="J725" s="17">
        <f t="shared" si="560"/>
        <v>100</v>
      </c>
      <c r="K725" s="17">
        <v>18.079999999999998</v>
      </c>
      <c r="L725" s="226">
        <v>300</v>
      </c>
      <c r="M725" s="335">
        <f t="shared" si="522"/>
        <v>2</v>
      </c>
      <c r="N725" s="329">
        <f t="shared" si="545"/>
        <v>200</v>
      </c>
    </row>
    <row r="726" spans="1:14" ht="14.1" customHeight="1">
      <c r="A726" s="32"/>
      <c r="B726" s="33" t="s">
        <v>483</v>
      </c>
      <c r="C726" s="58" t="s">
        <v>484</v>
      </c>
      <c r="D726" s="52">
        <v>5000</v>
      </c>
      <c r="E726" s="17">
        <v>5500</v>
      </c>
      <c r="F726" s="224">
        <v>5800</v>
      </c>
      <c r="G726" s="17"/>
      <c r="H726" s="17">
        <f t="shared" si="559"/>
        <v>5800</v>
      </c>
      <c r="I726" s="17"/>
      <c r="J726" s="17">
        <f t="shared" si="560"/>
        <v>5800</v>
      </c>
      <c r="K726" s="17">
        <v>4215</v>
      </c>
      <c r="L726" s="226">
        <v>5500</v>
      </c>
      <c r="M726" s="335">
        <f t="shared" si="522"/>
        <v>-5.1724137931034482E-2</v>
      </c>
      <c r="N726" s="329">
        <f t="shared" si="545"/>
        <v>-300</v>
      </c>
    </row>
    <row r="727" spans="1:14" ht="14.1" customHeight="1">
      <c r="A727" s="32"/>
      <c r="B727" s="33" t="s">
        <v>263</v>
      </c>
      <c r="C727" s="58" t="s">
        <v>264</v>
      </c>
      <c r="D727" s="52">
        <v>200</v>
      </c>
      <c r="E727" s="17">
        <v>1400</v>
      </c>
      <c r="F727" s="224">
        <v>800</v>
      </c>
      <c r="G727" s="17"/>
      <c r="H727" s="17">
        <f t="shared" si="559"/>
        <v>800</v>
      </c>
      <c r="I727" s="17"/>
      <c r="J727" s="17">
        <f t="shared" si="560"/>
        <v>800</v>
      </c>
      <c r="K727" s="17">
        <v>370</v>
      </c>
      <c r="L727" s="226">
        <v>800</v>
      </c>
      <c r="M727" s="335">
        <f t="shared" si="522"/>
        <v>0</v>
      </c>
      <c r="N727" s="329">
        <f t="shared" si="545"/>
        <v>0</v>
      </c>
    </row>
    <row r="728" spans="1:14" ht="14.1" customHeight="1">
      <c r="A728" s="32"/>
      <c r="B728" s="33">
        <v>5540</v>
      </c>
      <c r="C728" s="43" t="s">
        <v>457</v>
      </c>
      <c r="D728" s="52">
        <v>100</v>
      </c>
      <c r="E728" s="17">
        <v>280</v>
      </c>
      <c r="F728" s="224">
        <v>100</v>
      </c>
      <c r="G728" s="17"/>
      <c r="H728" s="17">
        <f>+F728+G728</f>
        <v>100</v>
      </c>
      <c r="I728" s="17"/>
      <c r="J728" s="17">
        <f>+H728+I728</f>
        <v>100</v>
      </c>
      <c r="K728" s="17"/>
      <c r="L728" s="226">
        <v>100</v>
      </c>
      <c r="M728" s="335">
        <f t="shared" si="522"/>
        <v>0</v>
      </c>
      <c r="N728" s="329">
        <f t="shared" si="545"/>
        <v>0</v>
      </c>
    </row>
    <row r="729" spans="1:14" ht="14.1" customHeight="1">
      <c r="A729" s="45" t="s">
        <v>485</v>
      </c>
      <c r="B729" s="46"/>
      <c r="C729" s="47" t="s">
        <v>486</v>
      </c>
      <c r="D729" s="53">
        <v>61076</v>
      </c>
      <c r="E729" s="50">
        <v>56470</v>
      </c>
      <c r="F729" s="50">
        <f t="shared" ref="F729" si="561">+F730+F731</f>
        <v>60752</v>
      </c>
      <c r="G729" s="50">
        <f t="shared" ref="G729:H729" si="562">+G730+G731</f>
        <v>0</v>
      </c>
      <c r="H729" s="50">
        <f t="shared" si="562"/>
        <v>60752</v>
      </c>
      <c r="I729" s="50">
        <f t="shared" ref="I729:J729" si="563">+I730+I731</f>
        <v>300</v>
      </c>
      <c r="J729" s="50">
        <f t="shared" si="563"/>
        <v>61052</v>
      </c>
      <c r="K729" s="50">
        <f t="shared" ref="K729:L729" si="564">+K730+K731</f>
        <v>44324</v>
      </c>
      <c r="L729" s="50">
        <f t="shared" si="564"/>
        <v>61600</v>
      </c>
      <c r="M729" s="335">
        <f t="shared" si="522"/>
        <v>8.9759549236716248E-3</v>
      </c>
      <c r="N729" s="329">
        <f t="shared" si="545"/>
        <v>548</v>
      </c>
    </row>
    <row r="730" spans="1:14" ht="14.1" customHeight="1">
      <c r="A730" s="32"/>
      <c r="B730" s="38" t="s">
        <v>210</v>
      </c>
      <c r="C730" s="39" t="s">
        <v>211</v>
      </c>
      <c r="D730" s="51">
        <v>17451</v>
      </c>
      <c r="E730" s="143">
        <v>19200</v>
      </c>
      <c r="F730" s="224">
        <v>21989</v>
      </c>
      <c r="G730" s="143"/>
      <c r="H730" s="143">
        <f t="shared" ref="H730" si="565">+G730+F730</f>
        <v>21989</v>
      </c>
      <c r="I730" s="143"/>
      <c r="J730" s="143">
        <f t="shared" ref="J730" si="566">+I730+H730</f>
        <v>21989</v>
      </c>
      <c r="K730" s="143">
        <v>16284</v>
      </c>
      <c r="L730" s="152">
        <v>22600</v>
      </c>
      <c r="M730" s="335">
        <f t="shared" si="522"/>
        <v>2.7786620583018781E-2</v>
      </c>
      <c r="N730" s="329">
        <f t="shared" si="545"/>
        <v>611</v>
      </c>
    </row>
    <row r="731" spans="1:14" ht="14.1" customHeight="1">
      <c r="A731" s="32"/>
      <c r="B731" s="38" t="s">
        <v>212</v>
      </c>
      <c r="C731" s="39" t="s">
        <v>213</v>
      </c>
      <c r="D731" s="51">
        <v>43625</v>
      </c>
      <c r="E731" s="137">
        <v>37270</v>
      </c>
      <c r="F731" s="137">
        <f>+F732+F734+F735+F742+F743+F744+F745+F746+F733</f>
        <v>38763</v>
      </c>
      <c r="G731" s="137">
        <f t="shared" ref="G731:H731" si="567">+G732+G734+G735+G742+G743+G744+G745+G746+G733</f>
        <v>0</v>
      </c>
      <c r="H731" s="137">
        <f t="shared" si="567"/>
        <v>38763</v>
      </c>
      <c r="I731" s="137">
        <f t="shared" ref="I731:K731" si="568">+I732+I734+I735+I742+I743+I744+I745+I746+I733</f>
        <v>300</v>
      </c>
      <c r="J731" s="137">
        <f t="shared" si="568"/>
        <v>39063</v>
      </c>
      <c r="K731" s="137">
        <f t="shared" si="568"/>
        <v>28040</v>
      </c>
      <c r="L731" s="137">
        <f>+L732+L734+L735+L742+L743+L744+L745+L746+L733</f>
        <v>39000</v>
      </c>
      <c r="M731" s="335">
        <f t="shared" si="522"/>
        <v>-1.6127793564242377E-3</v>
      </c>
      <c r="N731" s="329">
        <f t="shared" si="545"/>
        <v>-63</v>
      </c>
    </row>
    <row r="732" spans="1:14" ht="14.1" customHeight="1">
      <c r="A732" s="32"/>
      <c r="B732" s="33" t="s">
        <v>214</v>
      </c>
      <c r="C732" s="34" t="s">
        <v>327</v>
      </c>
      <c r="D732" s="52">
        <v>1300</v>
      </c>
      <c r="E732" s="17">
        <v>1350</v>
      </c>
      <c r="F732" s="224">
        <v>1400</v>
      </c>
      <c r="G732" s="17"/>
      <c r="H732" s="17">
        <f>+F732+G732</f>
        <v>1400</v>
      </c>
      <c r="I732" s="17">
        <v>-500</v>
      </c>
      <c r="J732" s="17">
        <f>+H732+I732</f>
        <v>900</v>
      </c>
      <c r="K732" s="17">
        <v>1193</v>
      </c>
      <c r="L732" s="226">
        <v>1500</v>
      </c>
      <c r="M732" s="335">
        <f t="shared" si="522"/>
        <v>0.66666666666666663</v>
      </c>
      <c r="N732" s="329">
        <f t="shared" si="545"/>
        <v>600</v>
      </c>
    </row>
    <row r="733" spans="1:14" ht="14.1" customHeight="1">
      <c r="A733" s="32"/>
      <c r="B733" s="33">
        <v>5503</v>
      </c>
      <c r="C733" s="40" t="s">
        <v>216</v>
      </c>
      <c r="D733" s="52"/>
      <c r="E733" s="17">
        <v>0</v>
      </c>
      <c r="F733" s="224">
        <v>300</v>
      </c>
      <c r="G733" s="17"/>
      <c r="H733" s="17">
        <f t="shared" ref="H733:H734" si="569">+F733+G733</f>
        <v>300</v>
      </c>
      <c r="I733" s="17"/>
      <c r="J733" s="17">
        <f t="shared" ref="J733:J734" si="570">+H733+I733</f>
        <v>300</v>
      </c>
      <c r="K733" s="17"/>
      <c r="L733" s="226"/>
      <c r="M733" s="335">
        <f t="shared" si="522"/>
        <v>-1</v>
      </c>
      <c r="N733" s="329">
        <f t="shared" si="545"/>
        <v>-300</v>
      </c>
    </row>
    <row r="734" spans="1:14" ht="14.1" customHeight="1">
      <c r="A734" s="32"/>
      <c r="B734" s="33" t="s">
        <v>217</v>
      </c>
      <c r="C734" s="34" t="s">
        <v>230</v>
      </c>
      <c r="D734" s="52">
        <v>250</v>
      </c>
      <c r="E734" s="17">
        <v>250</v>
      </c>
      <c r="F734" s="224">
        <v>300</v>
      </c>
      <c r="G734" s="17"/>
      <c r="H734" s="17">
        <f t="shared" si="569"/>
        <v>300</v>
      </c>
      <c r="I734" s="17"/>
      <c r="J734" s="17">
        <f t="shared" si="570"/>
        <v>300</v>
      </c>
      <c r="K734" s="17">
        <v>260</v>
      </c>
      <c r="L734" s="226">
        <v>250</v>
      </c>
      <c r="M734" s="335">
        <f t="shared" si="522"/>
        <v>-0.16666666666666666</v>
      </c>
      <c r="N734" s="329">
        <f t="shared" si="545"/>
        <v>-50</v>
      </c>
    </row>
    <row r="735" spans="1:14" ht="14.1" customHeight="1">
      <c r="A735" s="32"/>
      <c r="B735" s="33" t="s">
        <v>231</v>
      </c>
      <c r="C735" s="34" t="s">
        <v>219</v>
      </c>
      <c r="D735" s="52">
        <v>38300</v>
      </c>
      <c r="E735" s="17">
        <v>31400</v>
      </c>
      <c r="F735" s="224">
        <f t="shared" ref="F735" si="571">SUM(F736:F741)</f>
        <v>31813</v>
      </c>
      <c r="G735" s="17">
        <f t="shared" ref="G735:H735" si="572">SUM(G736:G741)</f>
        <v>0</v>
      </c>
      <c r="H735" s="17">
        <f t="shared" si="572"/>
        <v>31813</v>
      </c>
      <c r="I735" s="17">
        <f t="shared" ref="I735:L735" si="573">SUM(I736:I741)</f>
        <v>800</v>
      </c>
      <c r="J735" s="17">
        <f t="shared" si="573"/>
        <v>32613</v>
      </c>
      <c r="K735" s="17">
        <f t="shared" si="573"/>
        <v>23671</v>
      </c>
      <c r="L735" s="224">
        <f t="shared" si="573"/>
        <v>33700</v>
      </c>
      <c r="M735" s="335">
        <f t="shared" si="522"/>
        <v>3.333026707141324E-2</v>
      </c>
      <c r="N735" s="329">
        <f t="shared" si="545"/>
        <v>1087</v>
      </c>
    </row>
    <row r="736" spans="1:14" s="150" customFormat="1" ht="14.1" customHeight="1">
      <c r="A736" s="157"/>
      <c r="B736" s="158"/>
      <c r="C736" s="146" t="s">
        <v>237</v>
      </c>
      <c r="D736" s="151">
        <v>400</v>
      </c>
      <c r="E736" s="147">
        <v>700</v>
      </c>
      <c r="F736" s="230">
        <v>800</v>
      </c>
      <c r="G736" s="147"/>
      <c r="H736" s="147">
        <f>+F736+G736</f>
        <v>800</v>
      </c>
      <c r="I736" s="147">
        <v>-600</v>
      </c>
      <c r="J736" s="147">
        <f>+H736+I736</f>
        <v>200</v>
      </c>
      <c r="K736" s="147">
        <v>158</v>
      </c>
      <c r="L736" s="229"/>
      <c r="M736" s="335">
        <f t="shared" si="522"/>
        <v>-1</v>
      </c>
      <c r="N736" s="329">
        <f t="shared" si="545"/>
        <v>-200</v>
      </c>
    </row>
    <row r="737" spans="1:14" s="150" customFormat="1" ht="14.1" customHeight="1">
      <c r="A737" s="157"/>
      <c r="B737" s="158"/>
      <c r="C737" s="146" t="s">
        <v>239</v>
      </c>
      <c r="D737" s="151">
        <v>200</v>
      </c>
      <c r="E737" s="147">
        <v>200</v>
      </c>
      <c r="F737" s="230">
        <v>100</v>
      </c>
      <c r="G737" s="147"/>
      <c r="H737" s="147">
        <f t="shared" ref="H737:H741" si="574">+F737+G737</f>
        <v>100</v>
      </c>
      <c r="I737" s="147"/>
      <c r="J737" s="147">
        <f t="shared" ref="J737:J741" si="575">+H737+I737</f>
        <v>100</v>
      </c>
      <c r="K737" s="147">
        <v>13</v>
      </c>
      <c r="L737" s="229"/>
      <c r="M737" s="335">
        <f t="shared" si="522"/>
        <v>-1</v>
      </c>
      <c r="N737" s="329">
        <f t="shared" si="545"/>
        <v>-100</v>
      </c>
    </row>
    <row r="738" spans="1:14" s="150" customFormat="1" ht="14.1" customHeight="1">
      <c r="A738" s="157"/>
      <c r="B738" s="158"/>
      <c r="C738" s="146" t="s">
        <v>241</v>
      </c>
      <c r="D738" s="151">
        <v>700</v>
      </c>
      <c r="E738" s="147">
        <v>0</v>
      </c>
      <c r="F738" s="230">
        <v>700</v>
      </c>
      <c r="G738" s="147"/>
      <c r="H738" s="147">
        <f t="shared" si="574"/>
        <v>700</v>
      </c>
      <c r="I738" s="147"/>
      <c r="J738" s="147">
        <f t="shared" si="575"/>
        <v>700</v>
      </c>
      <c r="K738" s="147"/>
      <c r="L738" s="229">
        <v>800</v>
      </c>
      <c r="M738" s="335">
        <f t="shared" si="522"/>
        <v>0.14285714285714285</v>
      </c>
      <c r="N738" s="329">
        <f t="shared" si="545"/>
        <v>100</v>
      </c>
    </row>
    <row r="739" spans="1:14" s="150" customFormat="1" ht="14.1" customHeight="1">
      <c r="A739" s="157"/>
      <c r="B739" s="158"/>
      <c r="C739" s="146" t="s">
        <v>487</v>
      </c>
      <c r="D739" s="151">
        <v>1000</v>
      </c>
      <c r="E739" s="147">
        <v>500</v>
      </c>
      <c r="F739" s="230">
        <v>200</v>
      </c>
      <c r="G739" s="147"/>
      <c r="H739" s="147">
        <f t="shared" si="574"/>
        <v>200</v>
      </c>
      <c r="I739" s="147">
        <v>-200</v>
      </c>
      <c r="J739" s="147">
        <f t="shared" si="575"/>
        <v>0</v>
      </c>
      <c r="K739" s="147"/>
      <c r="L739" s="229">
        <v>500</v>
      </c>
      <c r="M739" s="335" t="e">
        <f t="shared" si="522"/>
        <v>#DIV/0!</v>
      </c>
      <c r="N739" s="329">
        <f t="shared" si="545"/>
        <v>500</v>
      </c>
    </row>
    <row r="740" spans="1:14" s="150" customFormat="1" ht="14.1" customHeight="1">
      <c r="A740" s="157"/>
      <c r="B740" s="158"/>
      <c r="C740" s="146" t="s">
        <v>331</v>
      </c>
      <c r="D740" s="151">
        <v>0</v>
      </c>
      <c r="E740" s="147">
        <v>0</v>
      </c>
      <c r="F740" s="230">
        <v>13</v>
      </c>
      <c r="G740" s="147"/>
      <c r="H740" s="147">
        <f t="shared" si="574"/>
        <v>13</v>
      </c>
      <c r="I740" s="147"/>
      <c r="J740" s="147">
        <f t="shared" si="575"/>
        <v>13</v>
      </c>
      <c r="K740" s="147"/>
      <c r="L740" s="229"/>
      <c r="M740" s="335">
        <f t="shared" si="522"/>
        <v>-1</v>
      </c>
      <c r="N740" s="329">
        <f t="shared" si="545"/>
        <v>-13</v>
      </c>
    </row>
    <row r="741" spans="1:14" s="150" customFormat="1" ht="14.1" customHeight="1">
      <c r="A741" s="157"/>
      <c r="B741" s="158"/>
      <c r="C741" s="146" t="s">
        <v>488</v>
      </c>
      <c r="D741" s="151">
        <v>36000</v>
      </c>
      <c r="E741" s="147">
        <v>30000</v>
      </c>
      <c r="F741" s="230">
        <v>30000</v>
      </c>
      <c r="G741" s="147"/>
      <c r="H741" s="147">
        <f t="shared" si="574"/>
        <v>30000</v>
      </c>
      <c r="I741" s="147">
        <v>1600</v>
      </c>
      <c r="J741" s="147">
        <f t="shared" si="575"/>
        <v>31600</v>
      </c>
      <c r="K741" s="147">
        <v>23500</v>
      </c>
      <c r="L741" s="229">
        <v>32400</v>
      </c>
      <c r="M741" s="335">
        <f t="shared" si="522"/>
        <v>2.5316455696202531E-2</v>
      </c>
      <c r="N741" s="329">
        <f t="shared" si="545"/>
        <v>800</v>
      </c>
    </row>
    <row r="742" spans="1:14" ht="14.1" customHeight="1">
      <c r="A742" s="32"/>
      <c r="B742" s="33" t="s">
        <v>255</v>
      </c>
      <c r="C742" s="34" t="s">
        <v>221</v>
      </c>
      <c r="D742" s="52">
        <v>300</v>
      </c>
      <c r="E742" s="17">
        <v>420</v>
      </c>
      <c r="F742" s="224">
        <v>500</v>
      </c>
      <c r="G742" s="17"/>
      <c r="H742" s="17">
        <f>+F742+G742</f>
        <v>500</v>
      </c>
      <c r="I742" s="17"/>
      <c r="J742" s="17">
        <f>+H742+I742</f>
        <v>500</v>
      </c>
      <c r="K742" s="17">
        <v>229</v>
      </c>
      <c r="L742" s="226">
        <v>500</v>
      </c>
      <c r="M742" s="335">
        <f t="shared" si="522"/>
        <v>0</v>
      </c>
      <c r="N742" s="329">
        <f t="shared" si="545"/>
        <v>0</v>
      </c>
    </row>
    <row r="743" spans="1:14" ht="14.1" customHeight="1">
      <c r="A743" s="32"/>
      <c r="B743" s="33" t="s">
        <v>256</v>
      </c>
      <c r="C743" s="34" t="s">
        <v>257</v>
      </c>
      <c r="D743" s="52">
        <v>200</v>
      </c>
      <c r="E743" s="17">
        <v>200</v>
      </c>
      <c r="F743" s="224">
        <v>100</v>
      </c>
      <c r="G743" s="17"/>
      <c r="H743" s="17">
        <f t="shared" ref="H743:H746" si="576">+F743+G743</f>
        <v>100</v>
      </c>
      <c r="I743" s="17"/>
      <c r="J743" s="17">
        <f t="shared" ref="J743:J746" si="577">+H743+I743</f>
        <v>100</v>
      </c>
      <c r="K743" s="17"/>
      <c r="L743" s="226">
        <v>100</v>
      </c>
      <c r="M743" s="335">
        <f t="shared" si="522"/>
        <v>0</v>
      </c>
      <c r="N743" s="329">
        <f t="shared" si="545"/>
        <v>0</v>
      </c>
    </row>
    <row r="744" spans="1:14" ht="14.1" customHeight="1">
      <c r="A744" s="32"/>
      <c r="B744" s="33" t="s">
        <v>261</v>
      </c>
      <c r="C744" s="34" t="s">
        <v>262</v>
      </c>
      <c r="D744" s="52">
        <v>25</v>
      </c>
      <c r="E744" s="17">
        <v>0</v>
      </c>
      <c r="F744" s="224">
        <v>250</v>
      </c>
      <c r="G744" s="17"/>
      <c r="H744" s="17">
        <f t="shared" si="576"/>
        <v>250</v>
      </c>
      <c r="I744" s="17"/>
      <c r="J744" s="17">
        <f t="shared" si="577"/>
        <v>250</v>
      </c>
      <c r="K744" s="17"/>
      <c r="L744" s="226">
        <v>250</v>
      </c>
      <c r="M744" s="335">
        <f t="shared" si="522"/>
        <v>0</v>
      </c>
      <c r="N744" s="329">
        <f t="shared" si="545"/>
        <v>0</v>
      </c>
    </row>
    <row r="745" spans="1:14" ht="14.1" customHeight="1">
      <c r="A745" s="32"/>
      <c r="B745" s="33" t="s">
        <v>483</v>
      </c>
      <c r="C745" s="34" t="s">
        <v>484</v>
      </c>
      <c r="D745" s="52">
        <v>2750</v>
      </c>
      <c r="E745" s="17">
        <v>3200</v>
      </c>
      <c r="F745" s="224">
        <v>3500</v>
      </c>
      <c r="G745" s="17"/>
      <c r="H745" s="17">
        <f t="shared" si="576"/>
        <v>3500</v>
      </c>
      <c r="I745" s="17"/>
      <c r="J745" s="17">
        <f t="shared" si="577"/>
        <v>3500</v>
      </c>
      <c r="K745" s="17">
        <v>2602</v>
      </c>
      <c r="L745" s="226">
        <v>2200</v>
      </c>
      <c r="M745" s="335">
        <f t="shared" si="522"/>
        <v>-0.37142857142857144</v>
      </c>
      <c r="N745" s="329">
        <f t="shared" si="545"/>
        <v>-1300</v>
      </c>
    </row>
    <row r="746" spans="1:14" ht="14.1" customHeight="1">
      <c r="A746" s="32"/>
      <c r="B746" s="33" t="s">
        <v>263</v>
      </c>
      <c r="C746" s="34" t="s">
        <v>264</v>
      </c>
      <c r="D746" s="52">
        <v>500</v>
      </c>
      <c r="E746" s="17">
        <v>450</v>
      </c>
      <c r="F746" s="224">
        <v>600</v>
      </c>
      <c r="G746" s="17"/>
      <c r="H746" s="17">
        <f t="shared" si="576"/>
        <v>600</v>
      </c>
      <c r="I746" s="17"/>
      <c r="J746" s="17">
        <f t="shared" si="577"/>
        <v>600</v>
      </c>
      <c r="K746" s="17">
        <v>85</v>
      </c>
      <c r="L746" s="226">
        <v>500</v>
      </c>
      <c r="M746" s="335">
        <f t="shared" si="522"/>
        <v>-0.16666666666666666</v>
      </c>
      <c r="N746" s="329">
        <f t="shared" si="545"/>
        <v>-100</v>
      </c>
    </row>
    <row r="747" spans="1:14" ht="14.1" customHeight="1">
      <c r="A747" s="45" t="s">
        <v>489</v>
      </c>
      <c r="B747" s="46"/>
      <c r="C747" s="47" t="s">
        <v>490</v>
      </c>
      <c r="D747" s="53">
        <v>15040</v>
      </c>
      <c r="E747" s="50">
        <v>24204</v>
      </c>
      <c r="F747" s="50">
        <f t="shared" ref="F747" si="578">+F748+F749</f>
        <v>24287</v>
      </c>
      <c r="G747" s="50">
        <f t="shared" ref="G747:I747" si="579">+G748+G749</f>
        <v>0</v>
      </c>
      <c r="H747" s="50">
        <f t="shared" ref="H747:J747" si="580">+H748+H749</f>
        <v>24287</v>
      </c>
      <c r="I747" s="50">
        <f t="shared" si="579"/>
        <v>-2500</v>
      </c>
      <c r="J747" s="50">
        <f t="shared" si="580"/>
        <v>21787</v>
      </c>
      <c r="K747" s="50">
        <f t="shared" ref="K747:L747" si="581">+K748+K749</f>
        <v>13453</v>
      </c>
      <c r="L747" s="50">
        <f t="shared" si="581"/>
        <v>18500</v>
      </c>
      <c r="M747" s="335">
        <f t="shared" si="522"/>
        <v>-0.15086978473401569</v>
      </c>
      <c r="N747" s="329">
        <f t="shared" si="545"/>
        <v>-3287</v>
      </c>
    </row>
    <row r="748" spans="1:14" ht="14.1" customHeight="1">
      <c r="A748" s="32"/>
      <c r="B748" s="38" t="s">
        <v>210</v>
      </c>
      <c r="C748" s="39" t="s">
        <v>211</v>
      </c>
      <c r="D748" s="51">
        <v>9640</v>
      </c>
      <c r="E748" s="143">
        <v>10700</v>
      </c>
      <c r="F748" s="226">
        <v>12187</v>
      </c>
      <c r="G748" s="143"/>
      <c r="H748" s="143">
        <f t="shared" ref="H748" si="582">+G748+F748</f>
        <v>12187</v>
      </c>
      <c r="I748" s="143"/>
      <c r="J748" s="143">
        <f t="shared" ref="J748" si="583">+I748+H748</f>
        <v>12187</v>
      </c>
      <c r="K748" s="143">
        <v>9062</v>
      </c>
      <c r="L748" s="152">
        <v>12500</v>
      </c>
      <c r="M748" s="335">
        <f t="shared" ref="M748:M811" si="584">(L748-J748)/J748</f>
        <v>2.5683104947895299E-2</v>
      </c>
      <c r="N748" s="329">
        <f t="shared" si="545"/>
        <v>313</v>
      </c>
    </row>
    <row r="749" spans="1:14" ht="14.1" customHeight="1">
      <c r="A749" s="32"/>
      <c r="B749" s="38" t="s">
        <v>212</v>
      </c>
      <c r="C749" s="39" t="s">
        <v>213</v>
      </c>
      <c r="D749" s="51">
        <v>5400</v>
      </c>
      <c r="E749" s="137">
        <v>13504</v>
      </c>
      <c r="F749" s="137">
        <f>+F750+F752+F753+F762+F763+F764+F765+F766+F768+F769+F767+F751</f>
        <v>12100</v>
      </c>
      <c r="G749" s="137">
        <f t="shared" ref="G749:H749" si="585">+G750+G752+G753+G762+G763+G764+G765+G766+G768+G769+G767+G751</f>
        <v>0</v>
      </c>
      <c r="H749" s="137">
        <f t="shared" si="585"/>
        <v>12100</v>
      </c>
      <c r="I749" s="137">
        <f t="shared" ref="I749:K749" si="586">+I750+I752+I753+I762+I763+I764+I765+I766+I768+I769+I767+I751</f>
        <v>-2500</v>
      </c>
      <c r="J749" s="137">
        <f t="shared" si="586"/>
        <v>9600</v>
      </c>
      <c r="K749" s="137">
        <f t="shared" si="586"/>
        <v>4391</v>
      </c>
      <c r="L749" s="137">
        <f>+L750+L752+L753+L762+L763+L764+L765+L766+L768+L769+L767+L751</f>
        <v>6000</v>
      </c>
      <c r="M749" s="335">
        <f t="shared" si="584"/>
        <v>-0.375</v>
      </c>
      <c r="N749" s="329">
        <f t="shared" si="545"/>
        <v>-3600</v>
      </c>
    </row>
    <row r="750" spans="1:14" ht="14.1" customHeight="1">
      <c r="A750" s="32"/>
      <c r="B750" s="33" t="s">
        <v>214</v>
      </c>
      <c r="C750" s="34" t="s">
        <v>227</v>
      </c>
      <c r="D750" s="52">
        <v>2200</v>
      </c>
      <c r="E750" s="17">
        <v>2082</v>
      </c>
      <c r="F750" s="224">
        <v>2300</v>
      </c>
      <c r="G750" s="17"/>
      <c r="H750" s="17">
        <f>+F750+G750</f>
        <v>2300</v>
      </c>
      <c r="I750" s="17">
        <v>-500</v>
      </c>
      <c r="J750" s="17">
        <f>+H750+I750</f>
        <v>1800</v>
      </c>
      <c r="K750" s="17">
        <v>1365</v>
      </c>
      <c r="L750" s="226">
        <v>1500</v>
      </c>
      <c r="M750" s="335">
        <f t="shared" si="584"/>
        <v>-0.16666666666666666</v>
      </c>
      <c r="N750" s="329">
        <f t="shared" si="545"/>
        <v>-300</v>
      </c>
    </row>
    <row r="751" spans="1:14" ht="14.1" customHeight="1">
      <c r="A751" s="32"/>
      <c r="B751" s="33">
        <v>5503</v>
      </c>
      <c r="C751" s="40" t="s">
        <v>216</v>
      </c>
      <c r="D751" s="52"/>
      <c r="E751" s="17">
        <v>0</v>
      </c>
      <c r="F751" s="224">
        <v>300</v>
      </c>
      <c r="G751" s="17"/>
      <c r="H751" s="17">
        <f>+F751+G751</f>
        <v>300</v>
      </c>
      <c r="I751" s="17"/>
      <c r="J751" s="17">
        <f>+H751+I751</f>
        <v>300</v>
      </c>
      <c r="K751" s="17"/>
      <c r="L751" s="226"/>
      <c r="M751" s="335">
        <f t="shared" si="584"/>
        <v>-1</v>
      </c>
      <c r="N751" s="329">
        <f t="shared" si="545"/>
        <v>-300</v>
      </c>
    </row>
    <row r="752" spans="1:14" ht="14.1" customHeight="1">
      <c r="A752" s="32"/>
      <c r="B752" s="33">
        <v>5504</v>
      </c>
      <c r="C752" s="34" t="s">
        <v>230</v>
      </c>
      <c r="D752" s="52">
        <v>400</v>
      </c>
      <c r="E752" s="17">
        <v>350</v>
      </c>
      <c r="F752" s="224">
        <v>300</v>
      </c>
      <c r="G752" s="17"/>
      <c r="H752" s="17">
        <f>+F752+G752</f>
        <v>300</v>
      </c>
      <c r="I752" s="17"/>
      <c r="J752" s="17">
        <f>+H752+I752</f>
        <v>300</v>
      </c>
      <c r="K752" s="17">
        <v>269</v>
      </c>
      <c r="L752" s="226">
        <v>250</v>
      </c>
      <c r="M752" s="335">
        <f t="shared" si="584"/>
        <v>-0.16666666666666666</v>
      </c>
      <c r="N752" s="329">
        <f t="shared" si="545"/>
        <v>-50</v>
      </c>
    </row>
    <row r="753" spans="1:14" ht="12.6">
      <c r="A753" s="32"/>
      <c r="B753" s="33" t="s">
        <v>231</v>
      </c>
      <c r="C753" s="34" t="s">
        <v>219</v>
      </c>
      <c r="D753" s="52">
        <v>500</v>
      </c>
      <c r="E753" s="17">
        <v>3060</v>
      </c>
      <c r="F753" s="17">
        <f t="shared" ref="F753:G753" si="587">SUM(F754:F761)</f>
        <v>0</v>
      </c>
      <c r="G753" s="17">
        <f t="shared" si="587"/>
        <v>0</v>
      </c>
      <c r="H753" s="17">
        <f>SUM(H754:H761)</f>
        <v>0</v>
      </c>
      <c r="I753" s="17">
        <f t="shared" ref="I753:K753" si="588">SUM(I754:I761)</f>
        <v>0</v>
      </c>
      <c r="J753" s="17">
        <f t="shared" si="588"/>
        <v>0</v>
      </c>
      <c r="K753" s="17">
        <f t="shared" si="588"/>
        <v>0</v>
      </c>
      <c r="L753" s="17">
        <f t="shared" ref="L753" si="589">SUM(L754:L761)</f>
        <v>0</v>
      </c>
      <c r="M753" s="335" t="e">
        <f t="shared" si="584"/>
        <v>#DIV/0!</v>
      </c>
      <c r="N753" s="329">
        <f t="shared" si="545"/>
        <v>0</v>
      </c>
    </row>
    <row r="754" spans="1:14" s="142" customFormat="1" ht="0.75" customHeight="1">
      <c r="A754" s="144"/>
      <c r="B754" s="145"/>
      <c r="C754" s="146" t="s">
        <v>235</v>
      </c>
      <c r="D754" s="151">
        <v>0</v>
      </c>
      <c r="E754" s="147">
        <v>0</v>
      </c>
      <c r="F754" s="230">
        <v>0</v>
      </c>
      <c r="G754" s="147"/>
      <c r="H754" s="147">
        <f>+F754+G754</f>
        <v>0</v>
      </c>
      <c r="I754" s="147"/>
      <c r="J754" s="147">
        <f>+H754+I754</f>
        <v>0</v>
      </c>
      <c r="K754" s="170"/>
      <c r="L754" s="230">
        <v>0</v>
      </c>
      <c r="M754" s="335" t="e">
        <f t="shared" si="584"/>
        <v>#DIV/0!</v>
      </c>
      <c r="N754" s="329">
        <f t="shared" si="545"/>
        <v>0</v>
      </c>
    </row>
    <row r="755" spans="1:14" s="142" customFormat="1" ht="11.45" hidden="1">
      <c r="A755" s="144"/>
      <c r="B755" s="145"/>
      <c r="C755" s="146" t="s">
        <v>237</v>
      </c>
      <c r="D755" s="151">
        <v>0</v>
      </c>
      <c r="E755" s="147">
        <v>100</v>
      </c>
      <c r="F755" s="230">
        <v>0</v>
      </c>
      <c r="G755" s="147"/>
      <c r="H755" s="147">
        <f t="shared" ref="H755:H761" si="590">+F755+G755</f>
        <v>0</v>
      </c>
      <c r="I755" s="147"/>
      <c r="J755" s="147">
        <f t="shared" ref="J755:J761" si="591">+H755+I755</f>
        <v>0</v>
      </c>
      <c r="K755" s="170"/>
      <c r="L755" s="230">
        <v>0</v>
      </c>
      <c r="M755" s="335" t="e">
        <f t="shared" si="584"/>
        <v>#DIV/0!</v>
      </c>
      <c r="N755" s="329">
        <f t="shared" si="545"/>
        <v>0</v>
      </c>
    </row>
    <row r="756" spans="1:14" s="142" customFormat="1" ht="11.45" hidden="1">
      <c r="A756" s="144"/>
      <c r="B756" s="145"/>
      <c r="C756" s="146" t="s">
        <v>239</v>
      </c>
      <c r="D756" s="151">
        <v>500</v>
      </c>
      <c r="E756" s="147">
        <v>960</v>
      </c>
      <c r="F756" s="230">
        <v>0</v>
      </c>
      <c r="G756" s="147"/>
      <c r="H756" s="147">
        <f t="shared" si="590"/>
        <v>0</v>
      </c>
      <c r="I756" s="147"/>
      <c r="J756" s="147">
        <f t="shared" si="591"/>
        <v>0</v>
      </c>
      <c r="K756" s="170"/>
      <c r="L756" s="230">
        <v>0</v>
      </c>
      <c r="M756" s="335" t="e">
        <f t="shared" si="584"/>
        <v>#DIV/0!</v>
      </c>
      <c r="N756" s="329">
        <f t="shared" si="545"/>
        <v>0</v>
      </c>
    </row>
    <row r="757" spans="1:14" s="142" customFormat="1" ht="11.45" hidden="1">
      <c r="A757" s="144"/>
      <c r="B757" s="145"/>
      <c r="C757" s="146" t="s">
        <v>491</v>
      </c>
      <c r="D757" s="151">
        <v>0</v>
      </c>
      <c r="E757" s="147">
        <v>2000</v>
      </c>
      <c r="F757" s="230">
        <v>0</v>
      </c>
      <c r="G757" s="147"/>
      <c r="H757" s="147">
        <f t="shared" si="590"/>
        <v>0</v>
      </c>
      <c r="I757" s="147"/>
      <c r="J757" s="147">
        <f t="shared" si="591"/>
        <v>0</v>
      </c>
      <c r="K757" s="170"/>
      <c r="L757" s="230">
        <v>0</v>
      </c>
      <c r="M757" s="335" t="e">
        <f t="shared" si="584"/>
        <v>#DIV/0!</v>
      </c>
      <c r="N757" s="329">
        <f t="shared" si="545"/>
        <v>0</v>
      </c>
    </row>
    <row r="758" spans="1:14" s="142" customFormat="1" ht="11.45" hidden="1">
      <c r="A758" s="144"/>
      <c r="B758" s="145"/>
      <c r="C758" s="146" t="s">
        <v>492</v>
      </c>
      <c r="D758" s="151"/>
      <c r="E758" s="147">
        <v>0</v>
      </c>
      <c r="F758" s="230">
        <v>0</v>
      </c>
      <c r="G758" s="147"/>
      <c r="H758" s="147">
        <f t="shared" si="590"/>
        <v>0</v>
      </c>
      <c r="I758" s="147"/>
      <c r="J758" s="147">
        <f t="shared" si="591"/>
        <v>0</v>
      </c>
      <c r="K758" s="170"/>
      <c r="L758" s="230">
        <v>0</v>
      </c>
      <c r="M758" s="335" t="e">
        <f t="shared" si="584"/>
        <v>#DIV/0!</v>
      </c>
      <c r="N758" s="329">
        <f t="shared" si="545"/>
        <v>0</v>
      </c>
    </row>
    <row r="759" spans="1:14" s="142" customFormat="1" ht="11.45" hidden="1">
      <c r="A759" s="144"/>
      <c r="B759" s="145"/>
      <c r="C759" s="146" t="s">
        <v>243</v>
      </c>
      <c r="D759" s="151">
        <v>0</v>
      </c>
      <c r="E759" s="147">
        <v>0</v>
      </c>
      <c r="F759" s="230">
        <v>0</v>
      </c>
      <c r="G759" s="147"/>
      <c r="H759" s="147">
        <f t="shared" si="590"/>
        <v>0</v>
      </c>
      <c r="I759" s="147"/>
      <c r="J759" s="147">
        <f t="shared" si="591"/>
        <v>0</v>
      </c>
      <c r="K759" s="170"/>
      <c r="L759" s="230">
        <v>0</v>
      </c>
      <c r="M759" s="335" t="e">
        <f t="shared" si="584"/>
        <v>#DIV/0!</v>
      </c>
      <c r="N759" s="329">
        <f t="shared" si="545"/>
        <v>0</v>
      </c>
    </row>
    <row r="760" spans="1:14" s="142" customFormat="1" ht="11.45" hidden="1">
      <c r="A760" s="144"/>
      <c r="B760" s="145"/>
      <c r="C760" s="146" t="s">
        <v>247</v>
      </c>
      <c r="D760" s="151">
        <v>0</v>
      </c>
      <c r="E760" s="147">
        <v>0</v>
      </c>
      <c r="F760" s="230">
        <v>0</v>
      </c>
      <c r="G760" s="147"/>
      <c r="H760" s="147">
        <f t="shared" si="590"/>
        <v>0</v>
      </c>
      <c r="I760" s="147"/>
      <c r="J760" s="147">
        <f t="shared" si="591"/>
        <v>0</v>
      </c>
      <c r="K760" s="170"/>
      <c r="L760" s="230">
        <v>0</v>
      </c>
      <c r="M760" s="335" t="e">
        <f t="shared" si="584"/>
        <v>#DIV/0!</v>
      </c>
      <c r="N760" s="329">
        <f t="shared" si="545"/>
        <v>0</v>
      </c>
    </row>
    <row r="761" spans="1:14" s="142" customFormat="1" ht="11.45" hidden="1">
      <c r="A761" s="144"/>
      <c r="B761" s="145"/>
      <c r="C761" s="146" t="s">
        <v>493</v>
      </c>
      <c r="D761" s="151">
        <v>0</v>
      </c>
      <c r="E761" s="147">
        <v>0</v>
      </c>
      <c r="F761" s="230">
        <v>0</v>
      </c>
      <c r="G761" s="147"/>
      <c r="H761" s="147">
        <f t="shared" si="590"/>
        <v>0</v>
      </c>
      <c r="I761" s="147"/>
      <c r="J761" s="147">
        <f t="shared" si="591"/>
        <v>0</v>
      </c>
      <c r="K761" s="170"/>
      <c r="L761" s="294">
        <v>0</v>
      </c>
      <c r="M761" s="335" t="e">
        <f t="shared" si="584"/>
        <v>#DIV/0!</v>
      </c>
      <c r="N761" s="329">
        <f t="shared" si="545"/>
        <v>0</v>
      </c>
    </row>
    <row r="762" spans="1:14" ht="12.6">
      <c r="A762" s="32"/>
      <c r="B762" s="33">
        <v>5513</v>
      </c>
      <c r="C762" s="34" t="s">
        <v>254</v>
      </c>
      <c r="D762" s="52">
        <v>0</v>
      </c>
      <c r="E762" s="17">
        <v>0</v>
      </c>
      <c r="F762" s="224">
        <v>100</v>
      </c>
      <c r="G762" s="17"/>
      <c r="H762" s="17">
        <f t="shared" ref="H762:H769" si="592">+G762+F762</f>
        <v>100</v>
      </c>
      <c r="I762" s="17"/>
      <c r="J762" s="17">
        <f t="shared" ref="J762:J769" si="593">+I762+H762</f>
        <v>100</v>
      </c>
      <c r="K762" s="17"/>
      <c r="L762" s="226"/>
      <c r="M762" s="335">
        <f t="shared" si="584"/>
        <v>-1</v>
      </c>
      <c r="N762" s="329">
        <f t="shared" si="545"/>
        <v>-100</v>
      </c>
    </row>
    <row r="763" spans="1:14" ht="14.1" customHeight="1">
      <c r="A763" s="32"/>
      <c r="B763" s="33" t="s">
        <v>255</v>
      </c>
      <c r="C763" s="34" t="s">
        <v>221</v>
      </c>
      <c r="D763" s="52">
        <v>700</v>
      </c>
      <c r="E763" s="17">
        <v>1200</v>
      </c>
      <c r="F763" s="224">
        <v>1200</v>
      </c>
      <c r="G763" s="17"/>
      <c r="H763" s="17">
        <f t="shared" si="592"/>
        <v>1200</v>
      </c>
      <c r="I763" s="17"/>
      <c r="J763" s="17">
        <f t="shared" si="593"/>
        <v>1200</v>
      </c>
      <c r="K763" s="17">
        <v>648</v>
      </c>
      <c r="L763" s="226">
        <v>1200</v>
      </c>
      <c r="M763" s="335">
        <f t="shared" si="584"/>
        <v>0</v>
      </c>
      <c r="N763" s="329">
        <f t="shared" si="545"/>
        <v>0</v>
      </c>
    </row>
    <row r="764" spans="1:14" ht="14.1" customHeight="1">
      <c r="A764" s="32"/>
      <c r="B764" s="33">
        <v>5515</v>
      </c>
      <c r="C764" s="34" t="s">
        <v>257</v>
      </c>
      <c r="D764" s="52">
        <v>0</v>
      </c>
      <c r="E764" s="17">
        <v>4400</v>
      </c>
      <c r="F764" s="224">
        <v>4400</v>
      </c>
      <c r="G764" s="17"/>
      <c r="H764" s="17">
        <f t="shared" si="592"/>
        <v>4400</v>
      </c>
      <c r="I764" s="17">
        <v>-2000</v>
      </c>
      <c r="J764" s="17">
        <f t="shared" si="593"/>
        <v>2400</v>
      </c>
      <c r="K764" s="17">
        <v>260</v>
      </c>
      <c r="L764" s="226">
        <v>500</v>
      </c>
      <c r="M764" s="335">
        <f t="shared" si="584"/>
        <v>-0.79166666666666663</v>
      </c>
      <c r="N764" s="329">
        <f t="shared" si="545"/>
        <v>-1900</v>
      </c>
    </row>
    <row r="765" spans="1:14" ht="14.1" customHeight="1">
      <c r="A765" s="32"/>
      <c r="B765" s="33" t="s">
        <v>258</v>
      </c>
      <c r="C765" s="34" t="s">
        <v>259</v>
      </c>
      <c r="D765" s="52">
        <v>0</v>
      </c>
      <c r="E765" s="17">
        <v>112</v>
      </c>
      <c r="F765" s="224">
        <v>0</v>
      </c>
      <c r="G765" s="17"/>
      <c r="H765" s="17">
        <f t="shared" si="592"/>
        <v>0</v>
      </c>
      <c r="I765" s="17"/>
      <c r="J765" s="17">
        <f t="shared" si="593"/>
        <v>0</v>
      </c>
      <c r="K765" s="17"/>
      <c r="L765" s="226"/>
      <c r="M765" s="335" t="e">
        <f t="shared" si="584"/>
        <v>#DIV/0!</v>
      </c>
      <c r="N765" s="329">
        <f t="shared" si="545"/>
        <v>0</v>
      </c>
    </row>
    <row r="766" spans="1:14" ht="14.1" customHeight="1">
      <c r="A766" s="32"/>
      <c r="B766" s="33">
        <v>5522</v>
      </c>
      <c r="C766" s="34" t="s">
        <v>262</v>
      </c>
      <c r="D766" s="52">
        <v>0</v>
      </c>
      <c r="E766" s="17">
        <v>0</v>
      </c>
      <c r="F766" s="224">
        <v>0</v>
      </c>
      <c r="G766" s="17"/>
      <c r="H766" s="17">
        <f t="shared" si="592"/>
        <v>0</v>
      </c>
      <c r="I766" s="17"/>
      <c r="J766" s="17">
        <f t="shared" si="593"/>
        <v>0</v>
      </c>
      <c r="K766" s="17"/>
      <c r="L766" s="226"/>
      <c r="M766" s="335" t="e">
        <f t="shared" si="584"/>
        <v>#DIV/0!</v>
      </c>
      <c r="N766" s="329">
        <f t="shared" si="545"/>
        <v>0</v>
      </c>
    </row>
    <row r="767" spans="1:14" ht="14.1" customHeight="1">
      <c r="A767" s="32"/>
      <c r="B767" s="33">
        <v>5524</v>
      </c>
      <c r="C767" s="34" t="s">
        <v>456</v>
      </c>
      <c r="D767" s="52"/>
      <c r="E767" s="17">
        <v>0</v>
      </c>
      <c r="F767" s="224">
        <v>0</v>
      </c>
      <c r="G767" s="17"/>
      <c r="H767" s="17">
        <f t="shared" si="592"/>
        <v>0</v>
      </c>
      <c r="I767" s="17"/>
      <c r="J767" s="17">
        <f t="shared" si="593"/>
        <v>0</v>
      </c>
      <c r="K767" s="17"/>
      <c r="L767" s="226">
        <v>1000</v>
      </c>
      <c r="M767" s="335" t="e">
        <f t="shared" si="584"/>
        <v>#DIV/0!</v>
      </c>
      <c r="N767" s="329">
        <f t="shared" si="545"/>
        <v>1000</v>
      </c>
    </row>
    <row r="768" spans="1:14" ht="14.1" customHeight="1">
      <c r="A768" s="32"/>
      <c r="B768" s="33" t="s">
        <v>483</v>
      </c>
      <c r="C768" s="34" t="s">
        <v>484</v>
      </c>
      <c r="D768" s="52">
        <v>1300</v>
      </c>
      <c r="E768" s="17">
        <v>1300</v>
      </c>
      <c r="F768" s="224">
        <v>1500</v>
      </c>
      <c r="G768" s="17"/>
      <c r="H768" s="17">
        <f t="shared" si="592"/>
        <v>1500</v>
      </c>
      <c r="I768" s="17"/>
      <c r="J768" s="17">
        <f t="shared" si="593"/>
        <v>1500</v>
      </c>
      <c r="K768" s="17">
        <v>1052</v>
      </c>
      <c r="L768" s="226">
        <f>400*2.5</f>
        <v>1000</v>
      </c>
      <c r="M768" s="335">
        <f t="shared" si="584"/>
        <v>-0.33333333333333331</v>
      </c>
      <c r="N768" s="329">
        <f t="shared" si="545"/>
        <v>-500</v>
      </c>
    </row>
    <row r="769" spans="1:14" ht="14.1" customHeight="1">
      <c r="A769" s="32"/>
      <c r="B769" s="33" t="s">
        <v>263</v>
      </c>
      <c r="C769" s="34" t="s">
        <v>264</v>
      </c>
      <c r="D769" s="52">
        <v>300</v>
      </c>
      <c r="E769" s="17">
        <v>1000</v>
      </c>
      <c r="F769" s="224">
        <v>2000</v>
      </c>
      <c r="G769" s="17"/>
      <c r="H769" s="17">
        <f t="shared" si="592"/>
        <v>2000</v>
      </c>
      <c r="I769" s="17"/>
      <c r="J769" s="17">
        <f t="shared" si="593"/>
        <v>2000</v>
      </c>
      <c r="K769" s="17">
        <v>797</v>
      </c>
      <c r="L769" s="226">
        <v>550</v>
      </c>
      <c r="M769" s="335">
        <f t="shared" si="584"/>
        <v>-0.72499999999999998</v>
      </c>
      <c r="N769" s="329">
        <f t="shared" si="545"/>
        <v>-1450</v>
      </c>
    </row>
    <row r="770" spans="1:14" ht="14.1" customHeight="1">
      <c r="A770" s="45" t="s">
        <v>494</v>
      </c>
      <c r="B770" s="46"/>
      <c r="C770" s="47" t="s">
        <v>495</v>
      </c>
      <c r="D770" s="53">
        <v>18550</v>
      </c>
      <c r="E770" s="50">
        <v>21840</v>
      </c>
      <c r="F770" s="50">
        <f t="shared" ref="F770" si="594">+F771+F772</f>
        <v>18419</v>
      </c>
      <c r="G770" s="50">
        <f t="shared" ref="G770:H770" si="595">+G771+G772</f>
        <v>0</v>
      </c>
      <c r="H770" s="50">
        <f t="shared" si="595"/>
        <v>18419</v>
      </c>
      <c r="I770" s="50">
        <f t="shared" ref="I770:J770" si="596">+I771+I772</f>
        <v>-500</v>
      </c>
      <c r="J770" s="50">
        <f t="shared" si="596"/>
        <v>17919</v>
      </c>
      <c r="K770" s="50">
        <f t="shared" ref="K770:L770" si="597">+K771+K772</f>
        <v>13324</v>
      </c>
      <c r="L770" s="50">
        <f t="shared" si="597"/>
        <v>17300</v>
      </c>
      <c r="M770" s="335">
        <f t="shared" si="584"/>
        <v>-3.4544338411741725E-2</v>
      </c>
      <c r="N770" s="329">
        <f t="shared" si="545"/>
        <v>-619</v>
      </c>
    </row>
    <row r="771" spans="1:14" ht="14.1" customHeight="1">
      <c r="A771" s="32"/>
      <c r="B771" s="38" t="s">
        <v>210</v>
      </c>
      <c r="C771" s="39" t="s">
        <v>211</v>
      </c>
      <c r="D771" s="51">
        <v>9600</v>
      </c>
      <c r="E771" s="143">
        <v>10490</v>
      </c>
      <c r="F771" s="224">
        <v>8028</v>
      </c>
      <c r="G771" s="143"/>
      <c r="H771" s="143">
        <f t="shared" ref="H771" si="598">+G771+F771</f>
        <v>8028</v>
      </c>
      <c r="I771" s="143"/>
      <c r="J771" s="143">
        <f t="shared" ref="J771" si="599">+I771+H771</f>
        <v>8028</v>
      </c>
      <c r="K771" s="143">
        <v>5955</v>
      </c>
      <c r="L771" s="152">
        <v>8200</v>
      </c>
      <c r="M771" s="335">
        <f t="shared" si="584"/>
        <v>2.142501245640259E-2</v>
      </c>
      <c r="N771" s="329">
        <f t="shared" si="545"/>
        <v>172</v>
      </c>
    </row>
    <row r="772" spans="1:14" ht="14.1" customHeight="1">
      <c r="A772" s="32"/>
      <c r="B772" s="38" t="s">
        <v>212</v>
      </c>
      <c r="C772" s="39" t="s">
        <v>213</v>
      </c>
      <c r="D772" s="51">
        <v>8950</v>
      </c>
      <c r="E772" s="137">
        <v>11350</v>
      </c>
      <c r="F772" s="138">
        <f t="shared" ref="F772" si="600">+F773+F774+F775+F776+F785+F786+F787+F788+F789+F790+F791+F792</f>
        <v>10391</v>
      </c>
      <c r="G772" s="137">
        <f t="shared" ref="G772:I772" si="601">+G773+G774+G775+G776+G785+G786+G787+G788+G789+G790+G791+G792</f>
        <v>0</v>
      </c>
      <c r="H772" s="137">
        <f>+H773+H774+H775+H776+H785+H786+H787+H788+H789+H790+H791+H792</f>
        <v>10391</v>
      </c>
      <c r="I772" s="137">
        <f t="shared" si="601"/>
        <v>-500</v>
      </c>
      <c r="J772" s="137">
        <f>+J773+J774+J775+J776+J785+J786+J787+J788+J789+J790+J791+J792</f>
        <v>9891</v>
      </c>
      <c r="K772" s="137">
        <f>+K773+K774+K775+K776+K785+K786+K787+K788+K789+K790+K791+K792</f>
        <v>7369</v>
      </c>
      <c r="L772" s="138">
        <f t="shared" ref="L772" si="602">+L773+L774+L775+L776+L785+L786+L787+L788+L789+L790+L791+L792</f>
        <v>9100</v>
      </c>
      <c r="M772" s="335">
        <f t="shared" si="584"/>
        <v>-7.9971691436659595E-2</v>
      </c>
      <c r="N772" s="329">
        <f t="shared" si="545"/>
        <v>-791</v>
      </c>
    </row>
    <row r="773" spans="1:14" ht="14.1" customHeight="1">
      <c r="A773" s="32"/>
      <c r="B773" s="33" t="s">
        <v>214</v>
      </c>
      <c r="C773" s="34" t="s">
        <v>227</v>
      </c>
      <c r="D773" s="52">
        <v>1950</v>
      </c>
      <c r="E773" s="17">
        <v>2550</v>
      </c>
      <c r="F773" s="224">
        <v>1600</v>
      </c>
      <c r="G773" s="17"/>
      <c r="H773" s="17">
        <f t="shared" ref="H773:H774" si="603">+F773+G773</f>
        <v>1600</v>
      </c>
      <c r="I773" s="17">
        <v>-500</v>
      </c>
      <c r="J773" s="17">
        <f t="shared" ref="J773:J774" si="604">+H773+I773</f>
        <v>1100</v>
      </c>
      <c r="K773" s="17">
        <v>1571</v>
      </c>
      <c r="L773" s="226">
        <v>1500</v>
      </c>
      <c r="M773" s="335">
        <f t="shared" si="584"/>
        <v>0.36363636363636365</v>
      </c>
      <c r="N773" s="329">
        <f t="shared" si="545"/>
        <v>400</v>
      </c>
    </row>
    <row r="774" spans="1:14" ht="14.1" customHeight="1">
      <c r="A774" s="32"/>
      <c r="B774" s="33">
        <v>5503</v>
      </c>
      <c r="C774" s="34" t="s">
        <v>496</v>
      </c>
      <c r="D774" s="52">
        <v>200</v>
      </c>
      <c r="E774" s="17">
        <v>0</v>
      </c>
      <c r="F774" s="224">
        <v>300</v>
      </c>
      <c r="G774" s="17"/>
      <c r="H774" s="17">
        <f t="shared" si="603"/>
        <v>300</v>
      </c>
      <c r="I774" s="17"/>
      <c r="J774" s="17">
        <f t="shared" si="604"/>
        <v>300</v>
      </c>
      <c r="K774" s="17"/>
      <c r="L774" s="226"/>
      <c r="M774" s="335">
        <f t="shared" si="584"/>
        <v>-1</v>
      </c>
      <c r="N774" s="329">
        <f t="shared" ref="N774:N837" si="605">L774-J774</f>
        <v>-300</v>
      </c>
    </row>
    <row r="775" spans="1:14" ht="14.1" customHeight="1">
      <c r="A775" s="32"/>
      <c r="B775" s="33" t="s">
        <v>217</v>
      </c>
      <c r="C775" s="34" t="s">
        <v>230</v>
      </c>
      <c r="D775" s="52">
        <v>0</v>
      </c>
      <c r="E775" s="17">
        <v>300</v>
      </c>
      <c r="F775" s="224">
        <v>300</v>
      </c>
      <c r="G775" s="17"/>
      <c r="H775" s="17">
        <f>+F775+G775</f>
        <v>300</v>
      </c>
      <c r="I775" s="17"/>
      <c r="J775" s="17">
        <f>+H775+I775</f>
        <v>300</v>
      </c>
      <c r="K775" s="17">
        <v>789</v>
      </c>
      <c r="L775" s="226">
        <v>250</v>
      </c>
      <c r="M775" s="335">
        <f t="shared" si="584"/>
        <v>-0.16666666666666666</v>
      </c>
      <c r="N775" s="329">
        <f t="shared" si="605"/>
        <v>-50</v>
      </c>
    </row>
    <row r="776" spans="1:14" ht="14.1" customHeight="1">
      <c r="A776" s="32"/>
      <c r="B776" s="33" t="s">
        <v>231</v>
      </c>
      <c r="C776" s="34" t="s">
        <v>219</v>
      </c>
      <c r="D776" s="52">
        <v>2900</v>
      </c>
      <c r="E776" s="17">
        <v>3100</v>
      </c>
      <c r="F776" s="224">
        <f>SUM(F777:F784)</f>
        <v>4221</v>
      </c>
      <c r="G776" s="17">
        <f t="shared" ref="G776:H776" si="606">SUM(G777:G784)</f>
        <v>-1100</v>
      </c>
      <c r="H776" s="17">
        <f t="shared" si="606"/>
        <v>3121</v>
      </c>
      <c r="I776" s="17">
        <f t="shared" ref="I776:K776" si="607">SUM(I777:I784)</f>
        <v>0</v>
      </c>
      <c r="J776" s="17">
        <f t="shared" si="607"/>
        <v>3121</v>
      </c>
      <c r="K776" s="17">
        <f t="shared" si="607"/>
        <v>1923</v>
      </c>
      <c r="L776" s="224">
        <f>SUM(L777:L784)</f>
        <v>3000</v>
      </c>
      <c r="M776" s="335">
        <f t="shared" si="584"/>
        <v>-3.8769625120153799E-2</v>
      </c>
      <c r="N776" s="329">
        <f t="shared" si="605"/>
        <v>-121</v>
      </c>
    </row>
    <row r="777" spans="1:14" s="142" customFormat="1" ht="14.1" customHeight="1">
      <c r="A777" s="144"/>
      <c r="B777" s="145"/>
      <c r="C777" s="146" t="s">
        <v>233</v>
      </c>
      <c r="D777" s="151">
        <v>1500</v>
      </c>
      <c r="E777" s="147">
        <v>900</v>
      </c>
      <c r="F777" s="230">
        <v>2300</v>
      </c>
      <c r="G777" s="147">
        <v>-1400</v>
      </c>
      <c r="H777" s="147">
        <f>+F777+G777</f>
        <v>900</v>
      </c>
      <c r="I777" s="147"/>
      <c r="J777" s="147">
        <f>+H777+I777</f>
        <v>900</v>
      </c>
      <c r="K777" s="147">
        <v>482</v>
      </c>
      <c r="L777" s="229">
        <v>1200</v>
      </c>
      <c r="M777" s="335">
        <f t="shared" si="584"/>
        <v>0.33333333333333331</v>
      </c>
      <c r="N777" s="329">
        <f t="shared" si="605"/>
        <v>300</v>
      </c>
    </row>
    <row r="778" spans="1:14" s="142" customFormat="1" ht="14.1" customHeight="1">
      <c r="A778" s="144"/>
      <c r="B778" s="145"/>
      <c r="C778" s="146" t="s">
        <v>235</v>
      </c>
      <c r="D778" s="151">
        <v>300</v>
      </c>
      <c r="E778" s="147">
        <v>400</v>
      </c>
      <c r="F778" s="230">
        <v>400</v>
      </c>
      <c r="G778" s="147"/>
      <c r="H778" s="147">
        <f t="shared" ref="H778:H784" si="608">+F778+G778</f>
        <v>400</v>
      </c>
      <c r="I778" s="147"/>
      <c r="J778" s="147">
        <f t="shared" ref="J778:J784" si="609">+H778+I778</f>
        <v>400</v>
      </c>
      <c r="K778" s="147">
        <v>184</v>
      </c>
      <c r="L778" s="229"/>
      <c r="M778" s="335">
        <f t="shared" si="584"/>
        <v>-1</v>
      </c>
      <c r="N778" s="329">
        <f t="shared" si="605"/>
        <v>-400</v>
      </c>
    </row>
    <row r="779" spans="1:14" s="142" customFormat="1" ht="14.1" customHeight="1">
      <c r="A779" s="144"/>
      <c r="B779" s="145"/>
      <c r="C779" s="146" t="s">
        <v>237</v>
      </c>
      <c r="D779" s="151">
        <v>200</v>
      </c>
      <c r="E779" s="147">
        <v>200</v>
      </c>
      <c r="F779" s="230">
        <v>0</v>
      </c>
      <c r="G779" s="147"/>
      <c r="H779" s="147">
        <f t="shared" si="608"/>
        <v>0</v>
      </c>
      <c r="I779" s="147"/>
      <c r="J779" s="147">
        <f t="shared" si="609"/>
        <v>0</v>
      </c>
      <c r="K779" s="147"/>
      <c r="L779" s="229"/>
      <c r="M779" s="335" t="e">
        <f t="shared" si="584"/>
        <v>#DIV/0!</v>
      </c>
      <c r="N779" s="329">
        <f t="shared" si="605"/>
        <v>0</v>
      </c>
    </row>
    <row r="780" spans="1:14" s="142" customFormat="1" ht="14.1" customHeight="1">
      <c r="A780" s="144"/>
      <c r="B780" s="145"/>
      <c r="C780" s="146" t="s">
        <v>239</v>
      </c>
      <c r="D780" s="151">
        <v>100</v>
      </c>
      <c r="E780" s="147">
        <v>200</v>
      </c>
      <c r="F780" s="230">
        <v>100</v>
      </c>
      <c r="G780" s="147"/>
      <c r="H780" s="147">
        <f t="shared" si="608"/>
        <v>100</v>
      </c>
      <c r="I780" s="147"/>
      <c r="J780" s="147">
        <f t="shared" si="609"/>
        <v>100</v>
      </c>
      <c r="K780" s="147">
        <v>3</v>
      </c>
      <c r="L780" s="229">
        <v>50</v>
      </c>
      <c r="M780" s="335">
        <f t="shared" si="584"/>
        <v>-0.5</v>
      </c>
      <c r="N780" s="329">
        <f t="shared" si="605"/>
        <v>-50</v>
      </c>
    </row>
    <row r="781" spans="1:14" s="142" customFormat="1" ht="14.1" customHeight="1">
      <c r="A781" s="144"/>
      <c r="B781" s="145"/>
      <c r="C781" s="146" t="s">
        <v>243</v>
      </c>
      <c r="D781" s="151">
        <v>300</v>
      </c>
      <c r="E781" s="147">
        <v>300</v>
      </c>
      <c r="F781" s="230">
        <v>400</v>
      </c>
      <c r="G781" s="147">
        <v>100</v>
      </c>
      <c r="H781" s="147">
        <f t="shared" si="608"/>
        <v>500</v>
      </c>
      <c r="I781" s="147"/>
      <c r="J781" s="147">
        <f t="shared" si="609"/>
        <v>500</v>
      </c>
      <c r="K781" s="147">
        <v>416</v>
      </c>
      <c r="L781" s="229">
        <v>425</v>
      </c>
      <c r="M781" s="335">
        <f t="shared" si="584"/>
        <v>-0.15</v>
      </c>
      <c r="N781" s="329">
        <f t="shared" si="605"/>
        <v>-75</v>
      </c>
    </row>
    <row r="782" spans="1:14" s="142" customFormat="1" ht="14.1" customHeight="1">
      <c r="A782" s="144"/>
      <c r="B782" s="145"/>
      <c r="C782" s="146" t="s">
        <v>487</v>
      </c>
      <c r="D782" s="151">
        <v>500</v>
      </c>
      <c r="E782" s="147">
        <v>300</v>
      </c>
      <c r="F782" s="230">
        <v>0</v>
      </c>
      <c r="G782" s="147"/>
      <c r="H782" s="147">
        <f t="shared" si="608"/>
        <v>0</v>
      </c>
      <c r="I782" s="147"/>
      <c r="J782" s="147">
        <f t="shared" si="609"/>
        <v>0</v>
      </c>
      <c r="K782" s="147"/>
      <c r="L782" s="229"/>
      <c r="M782" s="335" t="e">
        <f t="shared" si="584"/>
        <v>#DIV/0!</v>
      </c>
      <c r="N782" s="329">
        <f t="shared" si="605"/>
        <v>0</v>
      </c>
    </row>
    <row r="783" spans="1:14" s="142" customFormat="1" ht="14.1" customHeight="1">
      <c r="A783" s="144"/>
      <c r="B783" s="145"/>
      <c r="C783" s="146" t="s">
        <v>247</v>
      </c>
      <c r="D783" s="151">
        <v>0</v>
      </c>
      <c r="E783" s="147">
        <v>0</v>
      </c>
      <c r="F783" s="230">
        <v>21</v>
      </c>
      <c r="G783" s="147"/>
      <c r="H783" s="147">
        <f t="shared" si="608"/>
        <v>21</v>
      </c>
      <c r="I783" s="147"/>
      <c r="J783" s="147">
        <f t="shared" si="609"/>
        <v>21</v>
      </c>
      <c r="K783" s="147">
        <v>24</v>
      </c>
      <c r="L783" s="229">
        <v>25</v>
      </c>
      <c r="M783" s="335">
        <f t="shared" si="584"/>
        <v>0.19047619047619047</v>
      </c>
      <c r="N783" s="329">
        <f t="shared" si="605"/>
        <v>4</v>
      </c>
    </row>
    <row r="784" spans="1:14" s="142" customFormat="1" ht="14.1" customHeight="1">
      <c r="A784" s="144"/>
      <c r="B784" s="145"/>
      <c r="C784" s="146" t="s">
        <v>497</v>
      </c>
      <c r="D784" s="151">
        <v>0</v>
      </c>
      <c r="E784" s="147">
        <v>800</v>
      </c>
      <c r="F784" s="230">
        <v>1000</v>
      </c>
      <c r="G784" s="147">
        <v>200</v>
      </c>
      <c r="H784" s="147">
        <f t="shared" si="608"/>
        <v>1200</v>
      </c>
      <c r="I784" s="147"/>
      <c r="J784" s="147">
        <f t="shared" si="609"/>
        <v>1200</v>
      </c>
      <c r="K784" s="147">
        <v>814</v>
      </c>
      <c r="L784" s="229">
        <v>1300</v>
      </c>
      <c r="M784" s="335">
        <f t="shared" si="584"/>
        <v>8.3333333333333329E-2</v>
      </c>
      <c r="N784" s="329">
        <f t="shared" si="605"/>
        <v>100</v>
      </c>
    </row>
    <row r="785" spans="1:14" s="3" customFormat="1" ht="14.1" customHeight="1">
      <c r="A785" s="72"/>
      <c r="B785" s="33">
        <v>5513</v>
      </c>
      <c r="C785" s="34" t="s">
        <v>254</v>
      </c>
      <c r="D785" s="52">
        <v>0</v>
      </c>
      <c r="E785" s="17">
        <v>0</v>
      </c>
      <c r="F785" s="224">
        <v>0</v>
      </c>
      <c r="G785" s="17"/>
      <c r="H785" s="17">
        <f t="shared" ref="H785:H792" si="610">+G785+F785</f>
        <v>0</v>
      </c>
      <c r="I785" s="17"/>
      <c r="J785" s="17">
        <f t="shared" ref="J785:J792" si="611">+I785+H785</f>
        <v>0</v>
      </c>
      <c r="K785" s="17"/>
      <c r="L785" s="226"/>
      <c r="M785" s="335" t="e">
        <f t="shared" si="584"/>
        <v>#DIV/0!</v>
      </c>
      <c r="N785" s="329">
        <f t="shared" si="605"/>
        <v>0</v>
      </c>
    </row>
    <row r="786" spans="1:14" ht="14.1" customHeight="1">
      <c r="A786" s="32"/>
      <c r="B786" s="33" t="s">
        <v>255</v>
      </c>
      <c r="C786" s="34" t="s">
        <v>221</v>
      </c>
      <c r="D786" s="52">
        <v>300</v>
      </c>
      <c r="E786" s="17">
        <v>800</v>
      </c>
      <c r="F786" s="224">
        <v>700</v>
      </c>
      <c r="G786" s="17">
        <v>100</v>
      </c>
      <c r="H786" s="17">
        <f t="shared" si="610"/>
        <v>800</v>
      </c>
      <c r="I786" s="17"/>
      <c r="J786" s="17">
        <f t="shared" si="611"/>
        <v>800</v>
      </c>
      <c r="K786" s="17">
        <v>806</v>
      </c>
      <c r="L786" s="226">
        <v>800</v>
      </c>
      <c r="M786" s="335">
        <f t="shared" si="584"/>
        <v>0</v>
      </c>
      <c r="N786" s="329">
        <f t="shared" si="605"/>
        <v>0</v>
      </c>
    </row>
    <row r="787" spans="1:14" ht="14.1" customHeight="1">
      <c r="A787" s="32"/>
      <c r="B787" s="33" t="s">
        <v>256</v>
      </c>
      <c r="C787" s="34" t="s">
        <v>257</v>
      </c>
      <c r="D787" s="52">
        <v>500</v>
      </c>
      <c r="E787" s="17">
        <v>500</v>
      </c>
      <c r="F787" s="224">
        <v>200</v>
      </c>
      <c r="G787" s="17"/>
      <c r="H787" s="17">
        <f t="shared" si="610"/>
        <v>200</v>
      </c>
      <c r="I787" s="17"/>
      <c r="J787" s="17">
        <f t="shared" si="611"/>
        <v>200</v>
      </c>
      <c r="K787" s="17">
        <v>84</v>
      </c>
      <c r="L787" s="226">
        <v>100</v>
      </c>
      <c r="M787" s="335">
        <f t="shared" si="584"/>
        <v>-0.5</v>
      </c>
      <c r="N787" s="329">
        <f t="shared" si="605"/>
        <v>-100</v>
      </c>
    </row>
    <row r="788" spans="1:14" ht="14.1" customHeight="1">
      <c r="A788" s="32"/>
      <c r="B788" s="33" t="s">
        <v>258</v>
      </c>
      <c r="C788" s="34" t="s">
        <v>259</v>
      </c>
      <c r="D788" s="52">
        <v>100</v>
      </c>
      <c r="E788" s="17">
        <v>100</v>
      </c>
      <c r="F788" s="224">
        <v>120</v>
      </c>
      <c r="G788" s="17"/>
      <c r="H788" s="17">
        <f t="shared" si="610"/>
        <v>120</v>
      </c>
      <c r="I788" s="17"/>
      <c r="J788" s="17">
        <f t="shared" si="611"/>
        <v>120</v>
      </c>
      <c r="K788" s="17"/>
      <c r="L788" s="226"/>
      <c r="M788" s="335">
        <f t="shared" si="584"/>
        <v>-1</v>
      </c>
      <c r="N788" s="329">
        <f t="shared" si="605"/>
        <v>-120</v>
      </c>
    </row>
    <row r="789" spans="1:14" ht="14.1" customHeight="1">
      <c r="A789" s="32"/>
      <c r="B789" s="33" t="s">
        <v>261</v>
      </c>
      <c r="C789" s="34" t="s">
        <v>262</v>
      </c>
      <c r="D789" s="52">
        <v>100</v>
      </c>
      <c r="E789" s="17">
        <v>0</v>
      </c>
      <c r="F789" s="224">
        <v>250</v>
      </c>
      <c r="G789" s="17"/>
      <c r="H789" s="17">
        <f t="shared" si="610"/>
        <v>250</v>
      </c>
      <c r="I789" s="17"/>
      <c r="J789" s="17">
        <f t="shared" si="611"/>
        <v>250</v>
      </c>
      <c r="K789" s="17"/>
      <c r="L789" s="226">
        <v>250</v>
      </c>
      <c r="M789" s="335">
        <f t="shared" si="584"/>
        <v>0</v>
      </c>
      <c r="N789" s="329">
        <f t="shared" si="605"/>
        <v>0</v>
      </c>
    </row>
    <row r="790" spans="1:14" ht="14.1" customHeight="1">
      <c r="A790" s="32"/>
      <c r="B790" s="33" t="s">
        <v>483</v>
      </c>
      <c r="C790" s="34" t="s">
        <v>484</v>
      </c>
      <c r="D790" s="52">
        <v>1700</v>
      </c>
      <c r="E790" s="17">
        <v>1800</v>
      </c>
      <c r="F790" s="224">
        <v>2000</v>
      </c>
      <c r="G790" s="17"/>
      <c r="H790" s="17">
        <f t="shared" si="610"/>
        <v>2000</v>
      </c>
      <c r="I790" s="17"/>
      <c r="J790" s="17">
        <f t="shared" si="611"/>
        <v>2000</v>
      </c>
      <c r="K790" s="17">
        <v>1348</v>
      </c>
      <c r="L790" s="226">
        <f>600*2.5</f>
        <v>1500</v>
      </c>
      <c r="M790" s="335">
        <f t="shared" si="584"/>
        <v>-0.25</v>
      </c>
      <c r="N790" s="329">
        <f t="shared" si="605"/>
        <v>-500</v>
      </c>
    </row>
    <row r="791" spans="1:14" ht="14.1" customHeight="1">
      <c r="A791" s="32"/>
      <c r="B791" s="33" t="s">
        <v>263</v>
      </c>
      <c r="C791" s="34" t="s">
        <v>264</v>
      </c>
      <c r="D791" s="52">
        <v>900</v>
      </c>
      <c r="E791" s="17">
        <v>2200</v>
      </c>
      <c r="F791" s="224">
        <v>600</v>
      </c>
      <c r="G791" s="194">
        <v>1000</v>
      </c>
      <c r="H791" s="17">
        <f t="shared" si="610"/>
        <v>1600</v>
      </c>
      <c r="I791" s="17"/>
      <c r="J791" s="17">
        <f t="shared" si="611"/>
        <v>1600</v>
      </c>
      <c r="K791" s="17">
        <v>810</v>
      </c>
      <c r="L791" s="226">
        <v>1600</v>
      </c>
      <c r="M791" s="335">
        <f t="shared" si="584"/>
        <v>0</v>
      </c>
      <c r="N791" s="329">
        <f t="shared" si="605"/>
        <v>0</v>
      </c>
    </row>
    <row r="792" spans="1:14" ht="14.1" customHeight="1">
      <c r="A792" s="32"/>
      <c r="B792" s="33" t="s">
        <v>305</v>
      </c>
      <c r="C792" s="34" t="s">
        <v>348</v>
      </c>
      <c r="D792" s="52">
        <v>300</v>
      </c>
      <c r="E792" s="17">
        <v>0</v>
      </c>
      <c r="F792" s="224">
        <v>100</v>
      </c>
      <c r="G792" s="17"/>
      <c r="H792" s="17">
        <f t="shared" si="610"/>
        <v>100</v>
      </c>
      <c r="I792" s="17"/>
      <c r="J792" s="17">
        <f t="shared" si="611"/>
        <v>100</v>
      </c>
      <c r="K792" s="17">
        <v>38</v>
      </c>
      <c r="L792" s="226">
        <v>100</v>
      </c>
      <c r="M792" s="335">
        <f t="shared" si="584"/>
        <v>0</v>
      </c>
      <c r="N792" s="329">
        <f t="shared" si="605"/>
        <v>0</v>
      </c>
    </row>
    <row r="793" spans="1:14" ht="14.1" customHeight="1">
      <c r="A793" s="45" t="s">
        <v>498</v>
      </c>
      <c r="B793" s="46"/>
      <c r="C793" s="47" t="s">
        <v>499</v>
      </c>
      <c r="D793" s="53">
        <v>35559</v>
      </c>
      <c r="E793" s="50">
        <v>22870</v>
      </c>
      <c r="F793" s="50">
        <f t="shared" ref="F793" si="612">+F794+F795</f>
        <v>23740</v>
      </c>
      <c r="G793" s="50">
        <f t="shared" ref="G793:H793" si="613">+G794+G795</f>
        <v>500</v>
      </c>
      <c r="H793" s="50">
        <f t="shared" si="613"/>
        <v>24240</v>
      </c>
      <c r="I793" s="50">
        <f t="shared" ref="I793:J793" si="614">+I794+I795</f>
        <v>0</v>
      </c>
      <c r="J793" s="50">
        <f t="shared" si="614"/>
        <v>24240</v>
      </c>
      <c r="K793" s="50">
        <f t="shared" ref="K793:L793" si="615">+K794+K795</f>
        <v>20044.599999999999</v>
      </c>
      <c r="L793" s="50">
        <f t="shared" si="615"/>
        <v>23400</v>
      </c>
      <c r="M793" s="335">
        <f t="shared" si="584"/>
        <v>-3.4653465346534656E-2</v>
      </c>
      <c r="N793" s="329">
        <f t="shared" si="605"/>
        <v>-840</v>
      </c>
    </row>
    <row r="794" spans="1:14" ht="14.1" customHeight="1">
      <c r="A794" s="32"/>
      <c r="B794" s="38" t="s">
        <v>210</v>
      </c>
      <c r="C794" s="39" t="s">
        <v>211</v>
      </c>
      <c r="D794" s="52">
        <v>10700</v>
      </c>
      <c r="E794" s="143">
        <v>6750</v>
      </c>
      <c r="F794" s="226">
        <v>11560</v>
      </c>
      <c r="G794" s="143"/>
      <c r="H794" s="143">
        <f t="shared" ref="H794" si="616">+G794+F794</f>
        <v>11560</v>
      </c>
      <c r="I794" s="143"/>
      <c r="J794" s="143">
        <f t="shared" ref="J794" si="617">+I794+H794</f>
        <v>11560</v>
      </c>
      <c r="K794" s="143">
        <v>8512</v>
      </c>
      <c r="L794" s="152">
        <v>11800</v>
      </c>
      <c r="M794" s="335">
        <f t="shared" si="584"/>
        <v>2.0761245674740483E-2</v>
      </c>
      <c r="N794" s="329">
        <f t="shared" si="605"/>
        <v>240</v>
      </c>
    </row>
    <row r="795" spans="1:14" ht="14.1" customHeight="1">
      <c r="A795" s="32"/>
      <c r="B795" s="38" t="s">
        <v>212</v>
      </c>
      <c r="C795" s="39" t="s">
        <v>213</v>
      </c>
      <c r="D795" s="52">
        <v>24859</v>
      </c>
      <c r="E795" s="137">
        <v>16120</v>
      </c>
      <c r="F795" s="137">
        <f t="shared" ref="F795" si="618">+F796+F797+F798+F799+F802+F803+F804+F805+F806+F807+F808</f>
        <v>12180</v>
      </c>
      <c r="G795" s="137">
        <f t="shared" ref="G795:H795" si="619">+G796+G797+G798+G799+G802+G803+G804+G805+G806+G807+G808</f>
        <v>500</v>
      </c>
      <c r="H795" s="137">
        <f t="shared" si="619"/>
        <v>12680</v>
      </c>
      <c r="I795" s="137">
        <f t="shared" ref="I795:K795" si="620">+I796+I797+I798+I799+I802+I803+I804+I805+I806+I807+I808</f>
        <v>0</v>
      </c>
      <c r="J795" s="137">
        <f t="shared" si="620"/>
        <v>12680</v>
      </c>
      <c r="K795" s="137">
        <f t="shared" si="620"/>
        <v>11532.6</v>
      </c>
      <c r="L795" s="137">
        <f t="shared" ref="L795" si="621">+L796+L797+L798+L799+L802+L803+L804+L805+L806+L807+L808</f>
        <v>11600</v>
      </c>
      <c r="M795" s="335">
        <f t="shared" si="584"/>
        <v>-8.5173501577287064E-2</v>
      </c>
      <c r="N795" s="329">
        <f t="shared" si="605"/>
        <v>-1080</v>
      </c>
    </row>
    <row r="796" spans="1:14" ht="14.1" customHeight="1">
      <c r="A796" s="32"/>
      <c r="B796" s="33" t="s">
        <v>214</v>
      </c>
      <c r="C796" s="34" t="s">
        <v>227</v>
      </c>
      <c r="D796" s="52">
        <v>4045</v>
      </c>
      <c r="E796" s="17">
        <v>4170</v>
      </c>
      <c r="F796" s="226">
        <v>3450</v>
      </c>
      <c r="G796" s="17"/>
      <c r="H796" s="17">
        <f t="shared" ref="H796:H797" si="622">+F796+G796</f>
        <v>3450</v>
      </c>
      <c r="I796" s="17">
        <v>-500</v>
      </c>
      <c r="J796" s="17">
        <f t="shared" ref="J796:J797" si="623">+H796+I796</f>
        <v>2950</v>
      </c>
      <c r="K796" s="17">
        <v>2781</v>
      </c>
      <c r="L796" s="226">
        <v>3000</v>
      </c>
      <c r="M796" s="335">
        <f t="shared" si="584"/>
        <v>1.6949152542372881E-2</v>
      </c>
      <c r="N796" s="329">
        <f t="shared" si="605"/>
        <v>50</v>
      </c>
    </row>
    <row r="797" spans="1:14" ht="14.1" customHeight="1">
      <c r="A797" s="32"/>
      <c r="B797" s="33">
        <v>5503</v>
      </c>
      <c r="C797" s="34" t="s">
        <v>216</v>
      </c>
      <c r="D797" s="52">
        <v>0</v>
      </c>
      <c r="E797" s="17">
        <v>200</v>
      </c>
      <c r="F797" s="226">
        <v>200</v>
      </c>
      <c r="G797" s="17"/>
      <c r="H797" s="17">
        <f t="shared" si="622"/>
        <v>200</v>
      </c>
      <c r="I797" s="17"/>
      <c r="J797" s="17">
        <f t="shared" si="623"/>
        <v>200</v>
      </c>
      <c r="K797" s="17">
        <v>15.6</v>
      </c>
      <c r="L797" s="226"/>
      <c r="M797" s="335">
        <f t="shared" si="584"/>
        <v>-1</v>
      </c>
      <c r="N797" s="329">
        <f t="shared" si="605"/>
        <v>-200</v>
      </c>
    </row>
    <row r="798" spans="1:14" ht="14.1" customHeight="1">
      <c r="A798" s="32"/>
      <c r="B798" s="33" t="s">
        <v>217</v>
      </c>
      <c r="C798" s="34" t="s">
        <v>230</v>
      </c>
      <c r="D798" s="52">
        <v>1694</v>
      </c>
      <c r="E798" s="17">
        <v>1900</v>
      </c>
      <c r="F798" s="226">
        <v>1200</v>
      </c>
      <c r="G798" s="17"/>
      <c r="H798" s="17">
        <f>+F798+G798</f>
        <v>1200</v>
      </c>
      <c r="I798" s="255">
        <v>600</v>
      </c>
      <c r="J798" s="17">
        <f>+H798+I798</f>
        <v>1800</v>
      </c>
      <c r="K798" s="17">
        <v>2511</v>
      </c>
      <c r="L798" s="226">
        <v>1000</v>
      </c>
      <c r="M798" s="335">
        <f t="shared" si="584"/>
        <v>-0.44444444444444442</v>
      </c>
      <c r="N798" s="329">
        <f t="shared" si="605"/>
        <v>-800</v>
      </c>
    </row>
    <row r="799" spans="1:14" ht="14.1" customHeight="1">
      <c r="A799" s="32"/>
      <c r="B799" s="33" t="s">
        <v>231</v>
      </c>
      <c r="C799" s="34" t="s">
        <v>404</v>
      </c>
      <c r="D799" s="52">
        <v>0</v>
      </c>
      <c r="E799" s="17">
        <v>300</v>
      </c>
      <c r="F799" s="226">
        <f t="shared" ref="F799" si="624">SUM(F800:F801)</f>
        <v>280</v>
      </c>
      <c r="G799" s="17">
        <f t="shared" ref="G799:H799" si="625">SUM(G800:G801)</f>
        <v>0</v>
      </c>
      <c r="H799" s="17">
        <f t="shared" si="625"/>
        <v>280</v>
      </c>
      <c r="I799" s="17">
        <f t="shared" ref="I799:L799" si="626">SUM(I800:I801)</f>
        <v>0</v>
      </c>
      <c r="J799" s="17">
        <f t="shared" si="626"/>
        <v>280</v>
      </c>
      <c r="K799" s="17">
        <f t="shared" si="626"/>
        <v>496</v>
      </c>
      <c r="L799" s="226">
        <f t="shared" si="626"/>
        <v>600</v>
      </c>
      <c r="M799" s="335">
        <f t="shared" si="584"/>
        <v>1.1428571428571428</v>
      </c>
      <c r="N799" s="329">
        <f t="shared" si="605"/>
        <v>320</v>
      </c>
    </row>
    <row r="800" spans="1:14" s="142" customFormat="1" ht="14.1" customHeight="1">
      <c r="A800" s="144"/>
      <c r="B800" s="145"/>
      <c r="C800" s="146" t="s">
        <v>239</v>
      </c>
      <c r="D800" s="151">
        <v>100</v>
      </c>
      <c r="E800" s="147">
        <v>0</v>
      </c>
      <c r="F800" s="229">
        <v>100</v>
      </c>
      <c r="G800" s="147"/>
      <c r="H800" s="147">
        <f t="shared" ref="H800:H801" si="627">+F800+G800</f>
        <v>100</v>
      </c>
      <c r="I800" s="147"/>
      <c r="J800" s="147">
        <f t="shared" ref="J800:J801" si="628">+H800+I800</f>
        <v>100</v>
      </c>
      <c r="K800" s="147">
        <v>42</v>
      </c>
      <c r="L800" s="229"/>
      <c r="M800" s="335">
        <f t="shared" si="584"/>
        <v>-1</v>
      </c>
      <c r="N800" s="329">
        <f t="shared" si="605"/>
        <v>-100</v>
      </c>
    </row>
    <row r="801" spans="1:14" s="142" customFormat="1" ht="14.1" customHeight="1">
      <c r="A801" s="144"/>
      <c r="B801" s="145"/>
      <c r="C801" s="146" t="s">
        <v>491</v>
      </c>
      <c r="D801" s="151">
        <v>300</v>
      </c>
      <c r="E801" s="147">
        <v>300</v>
      </c>
      <c r="F801" s="229">
        <v>180</v>
      </c>
      <c r="G801" s="147"/>
      <c r="H801" s="147">
        <f t="shared" si="627"/>
        <v>180</v>
      </c>
      <c r="I801" s="147"/>
      <c r="J801" s="147">
        <f t="shared" si="628"/>
        <v>180</v>
      </c>
      <c r="K801" s="147">
        <v>454</v>
      </c>
      <c r="L801" s="229">
        <v>600</v>
      </c>
      <c r="M801" s="335">
        <f t="shared" si="584"/>
        <v>2.3333333333333335</v>
      </c>
      <c r="N801" s="329">
        <f t="shared" si="605"/>
        <v>420</v>
      </c>
    </row>
    <row r="802" spans="1:14" ht="14.1" customHeight="1">
      <c r="A802" s="32"/>
      <c r="B802" s="33">
        <v>5513</v>
      </c>
      <c r="C802" s="34" t="s">
        <v>500</v>
      </c>
      <c r="D802" s="52">
        <v>400</v>
      </c>
      <c r="E802" s="17">
        <v>300</v>
      </c>
      <c r="F802" s="226">
        <v>250</v>
      </c>
      <c r="G802" s="17"/>
      <c r="H802" s="17">
        <f>+F802+G802</f>
        <v>250</v>
      </c>
      <c r="I802" s="17"/>
      <c r="J802" s="17">
        <f>+H802+I802</f>
        <v>250</v>
      </c>
      <c r="K802" s="17">
        <v>55</v>
      </c>
      <c r="L802" s="226">
        <v>300</v>
      </c>
      <c r="M802" s="335">
        <f t="shared" si="584"/>
        <v>0.2</v>
      </c>
      <c r="N802" s="329">
        <f t="shared" si="605"/>
        <v>50</v>
      </c>
    </row>
    <row r="803" spans="1:14" ht="14.1" customHeight="1">
      <c r="A803" s="32"/>
      <c r="B803" s="33" t="s">
        <v>255</v>
      </c>
      <c r="C803" s="34" t="s">
        <v>221</v>
      </c>
      <c r="D803" s="52">
        <v>2500</v>
      </c>
      <c r="E803" s="17">
        <v>800</v>
      </c>
      <c r="F803" s="226">
        <v>700</v>
      </c>
      <c r="G803" s="17">
        <v>100</v>
      </c>
      <c r="H803" s="17">
        <f t="shared" ref="H803:H808" si="629">+F803+G803</f>
        <v>800</v>
      </c>
      <c r="I803" s="17"/>
      <c r="J803" s="17">
        <f t="shared" ref="J803:J808" si="630">+H803+I803</f>
        <v>800</v>
      </c>
      <c r="K803" s="17">
        <v>600</v>
      </c>
      <c r="L803" s="226">
        <v>800</v>
      </c>
      <c r="M803" s="335">
        <f t="shared" si="584"/>
        <v>0</v>
      </c>
      <c r="N803" s="329">
        <f t="shared" si="605"/>
        <v>0</v>
      </c>
    </row>
    <row r="804" spans="1:14" ht="14.1" customHeight="1">
      <c r="A804" s="32"/>
      <c r="B804" s="33" t="s">
        <v>256</v>
      </c>
      <c r="C804" s="34" t="s">
        <v>257</v>
      </c>
      <c r="D804" s="52">
        <v>9820</v>
      </c>
      <c r="E804" s="17">
        <v>3650</v>
      </c>
      <c r="F804" s="226">
        <v>700</v>
      </c>
      <c r="G804" s="17"/>
      <c r="H804" s="17">
        <f t="shared" si="629"/>
        <v>700</v>
      </c>
      <c r="I804" s="17">
        <v>-100</v>
      </c>
      <c r="J804" s="17">
        <f t="shared" si="630"/>
        <v>600</v>
      </c>
      <c r="K804" s="17">
        <v>459</v>
      </c>
      <c r="L804" s="226">
        <v>700</v>
      </c>
      <c r="M804" s="335">
        <f t="shared" si="584"/>
        <v>0.16666666666666666</v>
      </c>
      <c r="N804" s="329">
        <f t="shared" si="605"/>
        <v>100</v>
      </c>
    </row>
    <row r="805" spans="1:14" ht="14.1" customHeight="1">
      <c r="A805" s="32"/>
      <c r="B805" s="33" t="s">
        <v>261</v>
      </c>
      <c r="C805" s="34" t="s">
        <v>262</v>
      </c>
      <c r="D805" s="52">
        <v>300</v>
      </c>
      <c r="E805" s="17">
        <v>0</v>
      </c>
      <c r="F805" s="226">
        <v>200</v>
      </c>
      <c r="G805" s="17"/>
      <c r="H805" s="17">
        <f t="shared" si="629"/>
        <v>200</v>
      </c>
      <c r="I805" s="17"/>
      <c r="J805" s="17">
        <f t="shared" si="630"/>
        <v>200</v>
      </c>
      <c r="K805" s="17"/>
      <c r="L805" s="226">
        <v>200</v>
      </c>
      <c r="M805" s="335">
        <f t="shared" si="584"/>
        <v>0</v>
      </c>
      <c r="N805" s="329">
        <f t="shared" si="605"/>
        <v>0</v>
      </c>
    </row>
    <row r="806" spans="1:14" ht="14.1" customHeight="1">
      <c r="A806" s="32"/>
      <c r="B806" s="33" t="s">
        <v>483</v>
      </c>
      <c r="C806" s="34" t="s">
        <v>484</v>
      </c>
      <c r="D806" s="52">
        <v>4000</v>
      </c>
      <c r="E806" s="17">
        <v>4500</v>
      </c>
      <c r="F806" s="226">
        <v>4000</v>
      </c>
      <c r="G806" s="17"/>
      <c r="H806" s="17">
        <f t="shared" si="629"/>
        <v>4000</v>
      </c>
      <c r="I806" s="17"/>
      <c r="J806" s="17">
        <f t="shared" si="630"/>
        <v>4000</v>
      </c>
      <c r="K806" s="17">
        <v>4207</v>
      </c>
      <c r="L806" s="226">
        <v>4000</v>
      </c>
      <c r="M806" s="335">
        <f t="shared" si="584"/>
        <v>0</v>
      </c>
      <c r="N806" s="329">
        <f t="shared" si="605"/>
        <v>0</v>
      </c>
    </row>
    <row r="807" spans="1:14" ht="14.1" customHeight="1">
      <c r="A807" s="32"/>
      <c r="B807" s="33" t="s">
        <v>263</v>
      </c>
      <c r="C807" s="34" t="s">
        <v>264</v>
      </c>
      <c r="D807" s="52">
        <v>1500</v>
      </c>
      <c r="E807" s="17">
        <v>300</v>
      </c>
      <c r="F807" s="226">
        <v>1200</v>
      </c>
      <c r="G807" s="17">
        <v>400</v>
      </c>
      <c r="H807" s="17">
        <f t="shared" si="629"/>
        <v>1600</v>
      </c>
      <c r="I807" s="17"/>
      <c r="J807" s="17">
        <f t="shared" si="630"/>
        <v>1600</v>
      </c>
      <c r="K807" s="17">
        <v>408</v>
      </c>
      <c r="L807" s="226">
        <v>1000</v>
      </c>
      <c r="M807" s="335">
        <f t="shared" si="584"/>
        <v>-0.375</v>
      </c>
      <c r="N807" s="329">
        <f t="shared" si="605"/>
        <v>-600</v>
      </c>
    </row>
    <row r="808" spans="1:14" ht="14.1" customHeight="1">
      <c r="A808" s="32"/>
      <c r="B808" s="33">
        <v>5540</v>
      </c>
      <c r="C808" s="34" t="s">
        <v>348</v>
      </c>
      <c r="D808" s="52">
        <v>600</v>
      </c>
      <c r="E808" s="17">
        <v>0</v>
      </c>
      <c r="F808" s="226">
        <v>0</v>
      </c>
      <c r="G808" s="17"/>
      <c r="H808" s="17">
        <f t="shared" si="629"/>
        <v>0</v>
      </c>
      <c r="I808" s="17"/>
      <c r="J808" s="17">
        <f t="shared" si="630"/>
        <v>0</v>
      </c>
      <c r="K808" s="17"/>
      <c r="L808" s="226"/>
      <c r="M808" s="335" t="e">
        <f t="shared" si="584"/>
        <v>#DIV/0!</v>
      </c>
      <c r="N808" s="329">
        <f t="shared" si="605"/>
        <v>0</v>
      </c>
    </row>
    <row r="809" spans="1:14" ht="14.1" customHeight="1">
      <c r="A809" s="45" t="s">
        <v>501</v>
      </c>
      <c r="B809" s="46"/>
      <c r="C809" s="47" t="s">
        <v>502</v>
      </c>
      <c r="D809" s="53">
        <v>216590</v>
      </c>
      <c r="E809" s="50">
        <v>204893</v>
      </c>
      <c r="F809" s="50">
        <f t="shared" ref="F809" si="631">+F810+F811</f>
        <v>205556</v>
      </c>
      <c r="G809" s="50">
        <f t="shared" ref="G809:H809" si="632">+G810+G811</f>
        <v>23639.4</v>
      </c>
      <c r="H809" s="262">
        <f t="shared" si="632"/>
        <v>229195.4</v>
      </c>
      <c r="I809" s="50">
        <f t="shared" ref="I809:J809" si="633">+I810+I811</f>
        <v>0</v>
      </c>
      <c r="J809" s="262">
        <f t="shared" si="633"/>
        <v>229195.4</v>
      </c>
      <c r="K809" s="262">
        <f t="shared" ref="K809:L809" si="634">+K810+K811</f>
        <v>152683</v>
      </c>
      <c r="L809" s="50">
        <f t="shared" si="634"/>
        <v>230000</v>
      </c>
      <c r="M809" s="335">
        <f t="shared" si="584"/>
        <v>3.510541660085699E-3</v>
      </c>
      <c r="N809" s="329">
        <f t="shared" si="605"/>
        <v>804.60000000000582</v>
      </c>
    </row>
    <row r="810" spans="1:14" ht="14.1" customHeight="1">
      <c r="A810" s="32"/>
      <c r="B810" s="33" t="s">
        <v>210</v>
      </c>
      <c r="C810" s="39" t="s">
        <v>211</v>
      </c>
      <c r="D810" s="52">
        <v>85573</v>
      </c>
      <c r="E810" s="143">
        <v>89914</v>
      </c>
      <c r="F810" s="226">
        <v>90556</v>
      </c>
      <c r="G810" s="143">
        <v>12202.4</v>
      </c>
      <c r="H810" s="265">
        <f t="shared" ref="H810" si="635">+G810+F810</f>
        <v>102758.39999999999</v>
      </c>
      <c r="I810" s="143"/>
      <c r="J810" s="265">
        <f t="shared" ref="J810" si="636">+I810+H810</f>
        <v>102758.39999999999</v>
      </c>
      <c r="K810" s="265">
        <v>75547</v>
      </c>
      <c r="L810" s="316">
        <v>103000</v>
      </c>
      <c r="M810" s="335">
        <f t="shared" si="584"/>
        <v>2.3511459890384226E-3</v>
      </c>
      <c r="N810" s="329">
        <f t="shared" si="605"/>
        <v>241.60000000000582</v>
      </c>
    </row>
    <row r="811" spans="1:14" ht="13.5" customHeight="1">
      <c r="A811" s="32"/>
      <c r="B811" s="38">
        <v>55</v>
      </c>
      <c r="C811" s="39" t="s">
        <v>213</v>
      </c>
      <c r="D811" s="52">
        <v>131017</v>
      </c>
      <c r="E811" s="137">
        <v>114979</v>
      </c>
      <c r="F811" s="137">
        <f t="shared" ref="F811:L811" si="637">+F812</f>
        <v>115000</v>
      </c>
      <c r="G811" s="137">
        <f t="shared" si="637"/>
        <v>11437</v>
      </c>
      <c r="H811" s="137">
        <f t="shared" si="637"/>
        <v>126437</v>
      </c>
      <c r="I811" s="137">
        <f t="shared" si="637"/>
        <v>0</v>
      </c>
      <c r="J811" s="137">
        <f t="shared" si="637"/>
        <v>126437</v>
      </c>
      <c r="K811" s="137">
        <f t="shared" si="637"/>
        <v>77136</v>
      </c>
      <c r="L811" s="137">
        <f t="shared" si="637"/>
        <v>127000</v>
      </c>
      <c r="M811" s="335">
        <f t="shared" si="584"/>
        <v>4.4528104906000621E-3</v>
      </c>
      <c r="N811" s="329">
        <f t="shared" si="605"/>
        <v>563</v>
      </c>
    </row>
    <row r="812" spans="1:14" ht="13.5" customHeight="1">
      <c r="A812" s="32"/>
      <c r="B812" s="33">
        <v>5523</v>
      </c>
      <c r="C812" s="34" t="s">
        <v>503</v>
      </c>
      <c r="D812" s="52">
        <v>131017</v>
      </c>
      <c r="E812" s="17">
        <v>114979</v>
      </c>
      <c r="F812" s="226">
        <v>115000</v>
      </c>
      <c r="G812" s="17">
        <v>11437</v>
      </c>
      <c r="H812" s="17">
        <f t="shared" ref="H812" si="638">+G812+F812</f>
        <v>126437</v>
      </c>
      <c r="I812" s="17"/>
      <c r="J812" s="17">
        <f t="shared" ref="J812" si="639">+I812+H812</f>
        <v>126437</v>
      </c>
      <c r="K812" s="20">
        <v>77136</v>
      </c>
      <c r="L812" s="226">
        <v>127000</v>
      </c>
      <c r="M812" s="335">
        <f t="shared" ref="M812:M875" si="640">(L812-J812)/J812</f>
        <v>4.4528104906000621E-3</v>
      </c>
      <c r="N812" s="329">
        <f t="shared" si="605"/>
        <v>563</v>
      </c>
    </row>
    <row r="813" spans="1:14" ht="13.5" customHeight="1">
      <c r="A813" s="45" t="s">
        <v>504</v>
      </c>
      <c r="B813" s="46"/>
      <c r="C813" s="47" t="s">
        <v>505</v>
      </c>
      <c r="D813" s="53">
        <v>28510</v>
      </c>
      <c r="E813" s="50">
        <v>29232</v>
      </c>
      <c r="F813" s="50">
        <f t="shared" ref="F813" si="641">+F814+F815</f>
        <v>31163</v>
      </c>
      <c r="G813" s="50">
        <f t="shared" ref="G813:H813" si="642">+G814+G815</f>
        <v>350</v>
      </c>
      <c r="H813" s="50">
        <f t="shared" si="642"/>
        <v>31513</v>
      </c>
      <c r="I813" s="50">
        <f t="shared" ref="I813:J813" si="643">+I814+I815</f>
        <v>-1000</v>
      </c>
      <c r="J813" s="50">
        <f t="shared" si="643"/>
        <v>30513</v>
      </c>
      <c r="K813" s="50">
        <f t="shared" ref="K813:L813" si="644">+K814+K815</f>
        <v>20675.05</v>
      </c>
      <c r="L813" s="50">
        <f t="shared" si="644"/>
        <v>29000</v>
      </c>
      <c r="M813" s="335">
        <f t="shared" si="640"/>
        <v>-4.9585422606757773E-2</v>
      </c>
      <c r="N813" s="329">
        <f t="shared" si="605"/>
        <v>-1513</v>
      </c>
    </row>
    <row r="814" spans="1:14" ht="13.5" customHeight="1">
      <c r="A814" s="32"/>
      <c r="B814" s="38" t="s">
        <v>210</v>
      </c>
      <c r="C814" s="39" t="s">
        <v>211</v>
      </c>
      <c r="D814" s="52">
        <v>14700</v>
      </c>
      <c r="E814" s="143">
        <v>15750</v>
      </c>
      <c r="F814" s="226">
        <v>18063</v>
      </c>
      <c r="G814" s="143"/>
      <c r="H814" s="143">
        <f t="shared" ref="H814" si="645">+G814+F814</f>
        <v>18063</v>
      </c>
      <c r="I814" s="143"/>
      <c r="J814" s="143">
        <f t="shared" ref="J814" si="646">+I814+H814</f>
        <v>18063</v>
      </c>
      <c r="K814" s="143">
        <v>13286</v>
      </c>
      <c r="L814" s="152">
        <v>18600</v>
      </c>
      <c r="M814" s="335">
        <f t="shared" si="640"/>
        <v>2.9729280850357084E-2</v>
      </c>
      <c r="N814" s="329">
        <f t="shared" si="605"/>
        <v>537</v>
      </c>
    </row>
    <row r="815" spans="1:14" ht="13.5" customHeight="1">
      <c r="A815" s="32"/>
      <c r="B815" s="38">
        <v>55</v>
      </c>
      <c r="C815" s="39" t="s">
        <v>213</v>
      </c>
      <c r="D815" s="52">
        <v>13810</v>
      </c>
      <c r="E815" s="137">
        <v>13482</v>
      </c>
      <c r="F815" s="137">
        <f>+F816+F817+F818+F819+F827+F828+F829+F831+F832+F833+F830</f>
        <v>13100</v>
      </c>
      <c r="G815" s="137">
        <f t="shared" ref="G815:H815" si="647">+G816+G817+G818+G819+G827+G828+G829+G831+G832+G833+G830</f>
        <v>350</v>
      </c>
      <c r="H815" s="137">
        <f t="shared" si="647"/>
        <v>13450</v>
      </c>
      <c r="I815" s="137">
        <f t="shared" ref="I815:K815" si="648">+I816+I817+I818+I819+I827+I828+I829+I831+I832+I833+I830</f>
        <v>-1000</v>
      </c>
      <c r="J815" s="137">
        <f t="shared" si="648"/>
        <v>12450</v>
      </c>
      <c r="K815" s="137">
        <f t="shared" si="648"/>
        <v>7389.05</v>
      </c>
      <c r="L815" s="137">
        <f>+L816+L817+L818+L819+L827+L828+L829+L831+L832+L833+L830</f>
        <v>10400</v>
      </c>
      <c r="M815" s="335">
        <f t="shared" si="640"/>
        <v>-0.1646586345381526</v>
      </c>
      <c r="N815" s="329">
        <f t="shared" si="605"/>
        <v>-2050</v>
      </c>
    </row>
    <row r="816" spans="1:14" ht="12.95" customHeight="1">
      <c r="A816" s="32"/>
      <c r="B816" s="33">
        <v>5500</v>
      </c>
      <c r="C816" s="34" t="s">
        <v>227</v>
      </c>
      <c r="D816" s="52">
        <v>1600</v>
      </c>
      <c r="E816" s="17">
        <v>1809</v>
      </c>
      <c r="F816" s="226">
        <v>1900</v>
      </c>
      <c r="G816" s="17"/>
      <c r="H816" s="17">
        <f t="shared" ref="H816:H817" si="649">+F816+G816</f>
        <v>1900</v>
      </c>
      <c r="I816" s="17">
        <v>-500</v>
      </c>
      <c r="J816" s="17">
        <f t="shared" ref="J816:J817" si="650">+H816+I816</f>
        <v>1400</v>
      </c>
      <c r="K816" s="17">
        <v>1580</v>
      </c>
      <c r="L816" s="226">
        <v>1600</v>
      </c>
      <c r="M816" s="335">
        <f t="shared" si="640"/>
        <v>0.14285714285714285</v>
      </c>
      <c r="N816" s="329">
        <f t="shared" si="605"/>
        <v>200</v>
      </c>
    </row>
    <row r="817" spans="1:14" ht="13.5" customHeight="1">
      <c r="A817" s="32"/>
      <c r="B817" s="33">
        <v>5503</v>
      </c>
      <c r="C817" s="34" t="s">
        <v>216</v>
      </c>
      <c r="D817" s="52">
        <v>0</v>
      </c>
      <c r="E817" s="17">
        <v>0</v>
      </c>
      <c r="F817" s="226">
        <v>300</v>
      </c>
      <c r="G817" s="17"/>
      <c r="H817" s="17">
        <f t="shared" si="649"/>
        <v>300</v>
      </c>
      <c r="I817" s="17"/>
      <c r="J817" s="17">
        <f t="shared" si="650"/>
        <v>300</v>
      </c>
      <c r="K817" s="17"/>
      <c r="L817" s="226"/>
      <c r="M817" s="335">
        <f t="shared" si="640"/>
        <v>-1</v>
      </c>
      <c r="N817" s="329">
        <f t="shared" si="605"/>
        <v>-300</v>
      </c>
    </row>
    <row r="818" spans="1:14" ht="13.5" customHeight="1">
      <c r="A818" s="32"/>
      <c r="B818" s="33">
        <v>5504</v>
      </c>
      <c r="C818" s="34" t="s">
        <v>230</v>
      </c>
      <c r="D818" s="52">
        <v>500</v>
      </c>
      <c r="E818" s="17">
        <v>300</v>
      </c>
      <c r="F818" s="226">
        <v>300</v>
      </c>
      <c r="G818" s="17"/>
      <c r="H818" s="17">
        <f>+F818+G818</f>
        <v>300</v>
      </c>
      <c r="I818" s="17"/>
      <c r="J818" s="17">
        <f>+H818+I818</f>
        <v>300</v>
      </c>
      <c r="K818" s="17">
        <v>269</v>
      </c>
      <c r="L818" s="226">
        <v>250</v>
      </c>
      <c r="M818" s="335">
        <f t="shared" si="640"/>
        <v>-0.16666666666666666</v>
      </c>
      <c r="N818" s="329">
        <f t="shared" si="605"/>
        <v>-50</v>
      </c>
    </row>
    <row r="819" spans="1:14" ht="13.5" customHeight="1">
      <c r="A819" s="32"/>
      <c r="B819" s="33">
        <v>5511</v>
      </c>
      <c r="C819" s="34" t="s">
        <v>404</v>
      </c>
      <c r="D819" s="52">
        <v>6140</v>
      </c>
      <c r="E819" s="17">
        <v>5993</v>
      </c>
      <c r="F819" s="226">
        <f t="shared" ref="F819" si="651">SUM(F820:F826)</f>
        <v>4600</v>
      </c>
      <c r="G819" s="17">
        <f t="shared" ref="G819:H819" si="652">SUM(G820:G826)</f>
        <v>200</v>
      </c>
      <c r="H819" s="17">
        <f t="shared" si="652"/>
        <v>4800</v>
      </c>
      <c r="I819" s="17">
        <f t="shared" ref="I819:L819" si="653">SUM(I820:I826)</f>
        <v>-500</v>
      </c>
      <c r="J819" s="17">
        <f t="shared" si="653"/>
        <v>4300</v>
      </c>
      <c r="K819" s="17">
        <f t="shared" si="653"/>
        <v>1928</v>
      </c>
      <c r="L819" s="226">
        <f t="shared" si="653"/>
        <v>4400</v>
      </c>
      <c r="M819" s="335">
        <f t="shared" si="640"/>
        <v>2.3255813953488372E-2</v>
      </c>
      <c r="N819" s="329">
        <f t="shared" si="605"/>
        <v>100</v>
      </c>
    </row>
    <row r="820" spans="1:14" s="142" customFormat="1" ht="13.5" customHeight="1">
      <c r="A820" s="144"/>
      <c r="B820" s="145"/>
      <c r="C820" s="146" t="s">
        <v>233</v>
      </c>
      <c r="D820" s="151">
        <v>4200</v>
      </c>
      <c r="E820" s="147">
        <v>2500</v>
      </c>
      <c r="F820" s="229">
        <v>3000</v>
      </c>
      <c r="G820" s="147"/>
      <c r="H820" s="147">
        <f>+F820+G820</f>
        <v>3000</v>
      </c>
      <c r="I820" s="147">
        <v>-500</v>
      </c>
      <c r="J820" s="147">
        <f>+H820+I820</f>
        <v>2500</v>
      </c>
      <c r="K820" s="147">
        <v>836</v>
      </c>
      <c r="L820" s="229">
        <v>2500</v>
      </c>
      <c r="M820" s="335">
        <f t="shared" si="640"/>
        <v>0</v>
      </c>
      <c r="N820" s="329">
        <f t="shared" si="605"/>
        <v>0</v>
      </c>
    </row>
    <row r="821" spans="1:14" s="142" customFormat="1" ht="13.5" customHeight="1">
      <c r="A821" s="144"/>
      <c r="B821" s="145"/>
      <c r="C821" s="146" t="s">
        <v>235</v>
      </c>
      <c r="D821" s="151">
        <v>350</v>
      </c>
      <c r="E821" s="147">
        <v>800</v>
      </c>
      <c r="F821" s="229">
        <v>800</v>
      </c>
      <c r="G821" s="147"/>
      <c r="H821" s="147">
        <f t="shared" ref="H821:H826" si="654">+F821+G821</f>
        <v>800</v>
      </c>
      <c r="I821" s="147"/>
      <c r="J821" s="147">
        <f t="shared" ref="J821:J826" si="655">+H821+I821</f>
        <v>800</v>
      </c>
      <c r="K821" s="147">
        <v>404</v>
      </c>
      <c r="L821" s="229">
        <v>900</v>
      </c>
      <c r="M821" s="335">
        <f t="shared" si="640"/>
        <v>0.125</v>
      </c>
      <c r="N821" s="329">
        <f t="shared" si="605"/>
        <v>100</v>
      </c>
    </row>
    <row r="822" spans="1:14" s="142" customFormat="1" ht="13.5" customHeight="1">
      <c r="A822" s="144"/>
      <c r="B822" s="145"/>
      <c r="C822" s="146" t="s">
        <v>237</v>
      </c>
      <c r="D822" s="151">
        <v>50</v>
      </c>
      <c r="E822" s="147">
        <v>40</v>
      </c>
      <c r="F822" s="229">
        <v>40</v>
      </c>
      <c r="G822" s="147">
        <v>20</v>
      </c>
      <c r="H822" s="147">
        <f t="shared" si="654"/>
        <v>60</v>
      </c>
      <c r="I822" s="147"/>
      <c r="J822" s="147">
        <f t="shared" si="655"/>
        <v>60</v>
      </c>
      <c r="K822" s="147">
        <v>36</v>
      </c>
      <c r="L822" s="229">
        <v>60</v>
      </c>
      <c r="M822" s="335">
        <f t="shared" si="640"/>
        <v>0</v>
      </c>
      <c r="N822" s="329">
        <f t="shared" si="605"/>
        <v>0</v>
      </c>
    </row>
    <row r="823" spans="1:14" s="142" customFormat="1" ht="13.5" customHeight="1">
      <c r="A823" s="144"/>
      <c r="B823" s="145"/>
      <c r="C823" s="146" t="s">
        <v>239</v>
      </c>
      <c r="D823" s="151">
        <v>250</v>
      </c>
      <c r="E823" s="147">
        <v>150</v>
      </c>
      <c r="F823" s="229">
        <v>760</v>
      </c>
      <c r="G823" s="147">
        <v>-20</v>
      </c>
      <c r="H823" s="147">
        <f t="shared" si="654"/>
        <v>740</v>
      </c>
      <c r="I823" s="147"/>
      <c r="J823" s="147">
        <f t="shared" si="655"/>
        <v>740</v>
      </c>
      <c r="K823" s="147">
        <v>30</v>
      </c>
      <c r="L823" s="229">
        <v>740</v>
      </c>
      <c r="M823" s="335">
        <f t="shared" si="640"/>
        <v>0</v>
      </c>
      <c r="N823" s="329">
        <f t="shared" si="605"/>
        <v>0</v>
      </c>
    </row>
    <row r="824" spans="1:14" s="142" customFormat="1" ht="13.5" customHeight="1">
      <c r="A824" s="144"/>
      <c r="B824" s="145"/>
      <c r="C824" s="146" t="s">
        <v>241</v>
      </c>
      <c r="D824" s="151">
        <v>150</v>
      </c>
      <c r="E824" s="147">
        <v>350</v>
      </c>
      <c r="F824" s="229">
        <v>0</v>
      </c>
      <c r="G824" s="147"/>
      <c r="H824" s="147">
        <f t="shared" si="654"/>
        <v>0</v>
      </c>
      <c r="I824" s="147"/>
      <c r="J824" s="147">
        <f t="shared" si="655"/>
        <v>0</v>
      </c>
      <c r="K824" s="147"/>
      <c r="L824" s="229"/>
      <c r="M824" s="335" t="e">
        <f t="shared" si="640"/>
        <v>#DIV/0!</v>
      </c>
      <c r="N824" s="329">
        <f t="shared" si="605"/>
        <v>0</v>
      </c>
    </row>
    <row r="825" spans="1:14" s="142" customFormat="1" ht="13.5" customHeight="1">
      <c r="A825" s="144"/>
      <c r="B825" s="145"/>
      <c r="C825" s="146" t="s">
        <v>487</v>
      </c>
      <c r="D825" s="151">
        <v>1000</v>
      </c>
      <c r="E825" s="147">
        <v>2000</v>
      </c>
      <c r="F825" s="229">
        <v>0</v>
      </c>
      <c r="G825" s="147">
        <v>200</v>
      </c>
      <c r="H825" s="147">
        <f t="shared" si="654"/>
        <v>200</v>
      </c>
      <c r="I825" s="147"/>
      <c r="J825" s="147">
        <f t="shared" si="655"/>
        <v>200</v>
      </c>
      <c r="K825" s="147">
        <v>622</v>
      </c>
      <c r="L825" s="229">
        <v>200</v>
      </c>
      <c r="M825" s="335">
        <f t="shared" si="640"/>
        <v>0</v>
      </c>
      <c r="N825" s="329">
        <f t="shared" si="605"/>
        <v>0</v>
      </c>
    </row>
    <row r="826" spans="1:14" s="142" customFormat="1" ht="13.5" customHeight="1">
      <c r="A826" s="144"/>
      <c r="B826" s="145"/>
      <c r="C826" s="146" t="s">
        <v>247</v>
      </c>
      <c r="D826" s="151">
        <v>140</v>
      </c>
      <c r="E826" s="147">
        <v>153</v>
      </c>
      <c r="F826" s="229">
        <v>0</v>
      </c>
      <c r="G826" s="147"/>
      <c r="H826" s="147">
        <f t="shared" si="654"/>
        <v>0</v>
      </c>
      <c r="I826" s="147"/>
      <c r="J826" s="147">
        <f t="shared" si="655"/>
        <v>0</v>
      </c>
      <c r="K826" s="147"/>
      <c r="L826" s="229"/>
      <c r="M826" s="335" t="e">
        <f t="shared" si="640"/>
        <v>#DIV/0!</v>
      </c>
      <c r="N826" s="329">
        <f t="shared" si="605"/>
        <v>0</v>
      </c>
    </row>
    <row r="827" spans="1:14" ht="13.5" customHeight="1">
      <c r="A827" s="32"/>
      <c r="B827" s="33">
        <v>5513</v>
      </c>
      <c r="C827" s="34" t="s">
        <v>500</v>
      </c>
      <c r="D827" s="52">
        <v>500</v>
      </c>
      <c r="E827" s="17">
        <v>100</v>
      </c>
      <c r="F827" s="226">
        <v>200</v>
      </c>
      <c r="G827" s="17"/>
      <c r="H827" s="17">
        <f t="shared" ref="H827:H833" si="656">+G827+F827</f>
        <v>200</v>
      </c>
      <c r="I827" s="17"/>
      <c r="J827" s="17">
        <f t="shared" ref="J827:J833" si="657">+I827+H827</f>
        <v>200</v>
      </c>
      <c r="K827" s="17">
        <v>146</v>
      </c>
      <c r="L827" s="226">
        <v>200</v>
      </c>
      <c r="M827" s="335">
        <f t="shared" si="640"/>
        <v>0</v>
      </c>
      <c r="N827" s="329">
        <f t="shared" si="605"/>
        <v>0</v>
      </c>
    </row>
    <row r="828" spans="1:14" ht="12.95" customHeight="1">
      <c r="A828" s="32"/>
      <c r="B828" s="33">
        <v>5514</v>
      </c>
      <c r="C828" s="34" t="s">
        <v>221</v>
      </c>
      <c r="D828" s="52">
        <v>1000</v>
      </c>
      <c r="E828" s="17">
        <v>300</v>
      </c>
      <c r="F828" s="226">
        <v>300</v>
      </c>
      <c r="G828" s="17"/>
      <c r="H828" s="17">
        <f t="shared" si="656"/>
        <v>300</v>
      </c>
      <c r="I828" s="17"/>
      <c r="J828" s="17">
        <f t="shared" si="657"/>
        <v>300</v>
      </c>
      <c r="K828" s="17">
        <v>305</v>
      </c>
      <c r="L828" s="226">
        <v>300</v>
      </c>
      <c r="M828" s="335">
        <f t="shared" si="640"/>
        <v>0</v>
      </c>
      <c r="N828" s="329">
        <f t="shared" si="605"/>
        <v>0</v>
      </c>
    </row>
    <row r="829" spans="1:14" ht="12.95" customHeight="1">
      <c r="A829" s="32"/>
      <c r="B829" s="33">
        <v>5515</v>
      </c>
      <c r="C829" s="34" t="s">
        <v>257</v>
      </c>
      <c r="D829" s="52">
        <v>0</v>
      </c>
      <c r="E829" s="17">
        <v>500</v>
      </c>
      <c r="F829" s="226">
        <v>200</v>
      </c>
      <c r="G829" s="17"/>
      <c r="H829" s="17">
        <f t="shared" si="656"/>
        <v>200</v>
      </c>
      <c r="I829" s="17"/>
      <c r="J829" s="17">
        <f t="shared" si="657"/>
        <v>200</v>
      </c>
      <c r="K829" s="17"/>
      <c r="L829" s="226">
        <v>100</v>
      </c>
      <c r="M829" s="335">
        <f t="shared" si="640"/>
        <v>-0.5</v>
      </c>
      <c r="N829" s="329">
        <f t="shared" si="605"/>
        <v>-100</v>
      </c>
    </row>
    <row r="830" spans="1:14" ht="12.95" customHeight="1">
      <c r="A830" s="32"/>
      <c r="B830" s="33" t="s">
        <v>258</v>
      </c>
      <c r="C830" s="34" t="s">
        <v>259</v>
      </c>
      <c r="D830" s="52"/>
      <c r="E830" s="17">
        <v>0</v>
      </c>
      <c r="F830" s="226">
        <v>500</v>
      </c>
      <c r="G830" s="17"/>
      <c r="H830" s="17">
        <f t="shared" si="656"/>
        <v>500</v>
      </c>
      <c r="I830" s="17"/>
      <c r="J830" s="17">
        <f t="shared" si="657"/>
        <v>500</v>
      </c>
      <c r="K830" s="17">
        <v>134.05000000000001</v>
      </c>
      <c r="L830" s="226">
        <v>500</v>
      </c>
      <c r="M830" s="335">
        <f t="shared" si="640"/>
        <v>0</v>
      </c>
      <c r="N830" s="329">
        <f t="shared" si="605"/>
        <v>0</v>
      </c>
    </row>
    <row r="831" spans="1:14" ht="13.35" customHeight="1">
      <c r="A831" s="32"/>
      <c r="B831" s="33">
        <v>5522</v>
      </c>
      <c r="C831" s="34" t="s">
        <v>262</v>
      </c>
      <c r="D831" s="52">
        <v>70</v>
      </c>
      <c r="E831" s="17">
        <v>130</v>
      </c>
      <c r="F831" s="226">
        <v>100</v>
      </c>
      <c r="G831" s="17">
        <v>150</v>
      </c>
      <c r="H831" s="17">
        <f t="shared" si="656"/>
        <v>250</v>
      </c>
      <c r="I831" s="17"/>
      <c r="J831" s="17">
        <f t="shared" si="657"/>
        <v>250</v>
      </c>
      <c r="K831" s="17"/>
      <c r="L831" s="226">
        <v>250</v>
      </c>
      <c r="M831" s="335">
        <f t="shared" si="640"/>
        <v>0</v>
      </c>
      <c r="N831" s="329">
        <f t="shared" si="605"/>
        <v>0</v>
      </c>
    </row>
    <row r="832" spans="1:14" ht="13.5" customHeight="1">
      <c r="A832" s="32"/>
      <c r="B832" s="33">
        <v>5523</v>
      </c>
      <c r="C832" s="34" t="s">
        <v>484</v>
      </c>
      <c r="D832" s="52">
        <v>3500</v>
      </c>
      <c r="E832" s="17">
        <v>3850</v>
      </c>
      <c r="F832" s="226">
        <v>3900</v>
      </c>
      <c r="G832" s="17"/>
      <c r="H832" s="17">
        <f t="shared" si="656"/>
        <v>3900</v>
      </c>
      <c r="I832" s="17"/>
      <c r="J832" s="17">
        <f t="shared" si="657"/>
        <v>3900</v>
      </c>
      <c r="K832" s="17">
        <v>2779</v>
      </c>
      <c r="L832" s="226">
        <v>2000</v>
      </c>
      <c r="M832" s="335">
        <f t="shared" si="640"/>
        <v>-0.48717948717948717</v>
      </c>
      <c r="N832" s="329">
        <f t="shared" si="605"/>
        <v>-1900</v>
      </c>
    </row>
    <row r="833" spans="1:14" ht="13.5" customHeight="1">
      <c r="A833" s="32"/>
      <c r="B833" s="33">
        <v>5525</v>
      </c>
      <c r="C833" s="34" t="s">
        <v>264</v>
      </c>
      <c r="D833" s="52">
        <v>500</v>
      </c>
      <c r="E833" s="17">
        <v>500</v>
      </c>
      <c r="F833" s="226">
        <v>800</v>
      </c>
      <c r="G833" s="17"/>
      <c r="H833" s="17">
        <f t="shared" si="656"/>
        <v>800</v>
      </c>
      <c r="I833" s="17"/>
      <c r="J833" s="17">
        <f t="shared" si="657"/>
        <v>800</v>
      </c>
      <c r="K833" s="17">
        <v>248</v>
      </c>
      <c r="L833" s="226">
        <v>800</v>
      </c>
      <c r="M833" s="335">
        <f t="shared" si="640"/>
        <v>0</v>
      </c>
      <c r="N833" s="329">
        <f t="shared" si="605"/>
        <v>0</v>
      </c>
    </row>
    <row r="834" spans="1:14" ht="13.5" customHeight="1">
      <c r="A834" s="45" t="s">
        <v>506</v>
      </c>
      <c r="B834" s="46"/>
      <c r="C834" s="47" t="s">
        <v>507</v>
      </c>
      <c r="D834" s="53">
        <v>32950</v>
      </c>
      <c r="E834" s="50">
        <v>37230</v>
      </c>
      <c r="F834" s="50">
        <f t="shared" ref="F834" si="658">+F835+F836</f>
        <v>42151</v>
      </c>
      <c r="G834" s="50">
        <f t="shared" ref="G834:H834" si="659">+G835+G836</f>
        <v>400</v>
      </c>
      <c r="H834" s="50">
        <f t="shared" si="659"/>
        <v>42551</v>
      </c>
      <c r="I834" s="50">
        <f t="shared" ref="I834:J834" si="660">+I835+I836</f>
        <v>-4000</v>
      </c>
      <c r="J834" s="50">
        <f t="shared" si="660"/>
        <v>38551</v>
      </c>
      <c r="K834" s="50">
        <f t="shared" ref="K834:L834" si="661">+K835+K836</f>
        <v>30142.010000000002</v>
      </c>
      <c r="L834" s="50">
        <f t="shared" si="661"/>
        <v>28000</v>
      </c>
      <c r="M834" s="335">
        <f t="shared" si="640"/>
        <v>-0.27368939845918394</v>
      </c>
      <c r="N834" s="329">
        <f t="shared" si="605"/>
        <v>-10551</v>
      </c>
    </row>
    <row r="835" spans="1:14" ht="13.5" customHeight="1">
      <c r="A835" s="66"/>
      <c r="B835" s="60" t="s">
        <v>210</v>
      </c>
      <c r="C835" s="61" t="s">
        <v>211</v>
      </c>
      <c r="D835" s="51">
        <v>25210</v>
      </c>
      <c r="E835" s="143">
        <v>27730</v>
      </c>
      <c r="F835" s="226">
        <v>31951</v>
      </c>
      <c r="G835" s="143"/>
      <c r="H835" s="143">
        <f t="shared" ref="H835" si="662">+G835+F835</f>
        <v>31951</v>
      </c>
      <c r="I835" s="152">
        <v>-3400</v>
      </c>
      <c r="J835" s="143">
        <f t="shared" ref="J835" si="663">+I835+H835</f>
        <v>28551</v>
      </c>
      <c r="K835" s="143">
        <v>24875</v>
      </c>
      <c r="L835" s="152">
        <v>20900</v>
      </c>
      <c r="M835" s="335">
        <f t="shared" si="640"/>
        <v>-0.26797660327133899</v>
      </c>
      <c r="N835" s="329">
        <f t="shared" si="605"/>
        <v>-7651</v>
      </c>
    </row>
    <row r="836" spans="1:14" ht="13.5" customHeight="1">
      <c r="A836" s="32"/>
      <c r="B836" s="38" t="s">
        <v>212</v>
      </c>
      <c r="C836" s="39" t="s">
        <v>213</v>
      </c>
      <c r="D836" s="51">
        <v>7740</v>
      </c>
      <c r="E836" s="137">
        <v>9500</v>
      </c>
      <c r="F836" s="137">
        <f t="shared" ref="F836" si="664">+F837+F838+F839+F840+F843+F844+F845+F846+F847</f>
        <v>10200</v>
      </c>
      <c r="G836" s="137">
        <f t="shared" ref="G836:H836" si="665">+G837+G838+G839+G840+G843+G844+G845+G846+G847</f>
        <v>400</v>
      </c>
      <c r="H836" s="137">
        <f t="shared" si="665"/>
        <v>10600</v>
      </c>
      <c r="I836" s="137">
        <f t="shared" ref="I836:K836" si="666">+I837+I838+I839+I840+I843+I844+I845+I846+I847</f>
        <v>-600</v>
      </c>
      <c r="J836" s="137">
        <f t="shared" si="666"/>
        <v>10000</v>
      </c>
      <c r="K836" s="137">
        <f t="shared" si="666"/>
        <v>5267.01</v>
      </c>
      <c r="L836" s="137">
        <f t="shared" ref="L836" si="667">+L837+L838+L839+L840+L843+L844+L845+L846+L847</f>
        <v>7100</v>
      </c>
      <c r="M836" s="335">
        <f t="shared" si="640"/>
        <v>-0.28999999999999998</v>
      </c>
      <c r="N836" s="329">
        <f t="shared" si="605"/>
        <v>-2900</v>
      </c>
    </row>
    <row r="837" spans="1:14" ht="13.5" customHeight="1">
      <c r="A837" s="32"/>
      <c r="B837" s="33">
        <v>5500</v>
      </c>
      <c r="C837" s="34" t="s">
        <v>327</v>
      </c>
      <c r="D837" s="52">
        <v>1650</v>
      </c>
      <c r="E837" s="17">
        <v>2000</v>
      </c>
      <c r="F837" s="224">
        <v>2000</v>
      </c>
      <c r="G837" s="17"/>
      <c r="H837" s="17">
        <f>+F837+G837</f>
        <v>2000</v>
      </c>
      <c r="I837" s="17"/>
      <c r="J837" s="17">
        <f>+H837+I837</f>
        <v>2000</v>
      </c>
      <c r="K837" s="17">
        <v>1214</v>
      </c>
      <c r="L837" s="226">
        <v>1900</v>
      </c>
      <c r="M837" s="335">
        <f t="shared" si="640"/>
        <v>-0.05</v>
      </c>
      <c r="N837" s="329">
        <f t="shared" si="605"/>
        <v>-100</v>
      </c>
    </row>
    <row r="838" spans="1:14" ht="13.5" customHeight="1">
      <c r="A838" s="32"/>
      <c r="B838" s="33">
        <v>5503</v>
      </c>
      <c r="C838" s="34" t="s">
        <v>216</v>
      </c>
      <c r="D838" s="52">
        <v>0</v>
      </c>
      <c r="E838" s="17">
        <v>0</v>
      </c>
      <c r="F838" s="224">
        <v>200</v>
      </c>
      <c r="G838" s="17"/>
      <c r="H838" s="17">
        <f t="shared" ref="H838:H839" si="668">+F838+G838</f>
        <v>200</v>
      </c>
      <c r="I838" s="17"/>
      <c r="J838" s="17">
        <f t="shared" ref="J838:J839" si="669">+H838+I838</f>
        <v>200</v>
      </c>
      <c r="K838" s="17"/>
      <c r="L838" s="226"/>
      <c r="M838" s="335">
        <f t="shared" si="640"/>
        <v>-1</v>
      </c>
      <c r="N838" s="329">
        <f t="shared" ref="N838:N901" si="670">L838-J838</f>
        <v>-200</v>
      </c>
    </row>
    <row r="839" spans="1:14" ht="13.5" customHeight="1">
      <c r="A839" s="32"/>
      <c r="B839" s="33">
        <v>5504</v>
      </c>
      <c r="C839" s="34" t="s">
        <v>230</v>
      </c>
      <c r="D839" s="52">
        <v>300</v>
      </c>
      <c r="E839" s="17">
        <v>300</v>
      </c>
      <c r="F839" s="224">
        <v>600</v>
      </c>
      <c r="G839" s="17"/>
      <c r="H839" s="17">
        <f t="shared" si="668"/>
        <v>600</v>
      </c>
      <c r="I839" s="17"/>
      <c r="J839" s="17">
        <f t="shared" si="669"/>
        <v>600</v>
      </c>
      <c r="K839" s="17">
        <v>533</v>
      </c>
      <c r="L839" s="226">
        <v>250</v>
      </c>
      <c r="M839" s="335">
        <f t="shared" si="640"/>
        <v>-0.58333333333333337</v>
      </c>
      <c r="N839" s="329">
        <f t="shared" si="670"/>
        <v>-350</v>
      </c>
    </row>
    <row r="840" spans="1:14" ht="13.5" customHeight="1">
      <c r="A840" s="32"/>
      <c r="B840" s="33">
        <v>5511</v>
      </c>
      <c r="C840" s="34" t="s">
        <v>404</v>
      </c>
      <c r="D840" s="52">
        <v>100</v>
      </c>
      <c r="E840" s="17">
        <v>100</v>
      </c>
      <c r="F840" s="224">
        <f t="shared" ref="F840" si="671">SUM(F841:F842)</f>
        <v>50</v>
      </c>
      <c r="G840" s="17">
        <f t="shared" ref="G840:H840" si="672">SUM(G841:G842)</f>
        <v>0</v>
      </c>
      <c r="H840" s="17">
        <f t="shared" si="672"/>
        <v>50</v>
      </c>
      <c r="I840" s="17">
        <f t="shared" ref="I840:L840" si="673">SUM(I841:I842)</f>
        <v>0</v>
      </c>
      <c r="J840" s="17">
        <f t="shared" si="673"/>
        <v>50</v>
      </c>
      <c r="K840" s="17">
        <f t="shared" si="673"/>
        <v>0</v>
      </c>
      <c r="L840" s="224">
        <f t="shared" si="673"/>
        <v>50</v>
      </c>
      <c r="M840" s="335">
        <f t="shared" si="640"/>
        <v>0</v>
      </c>
      <c r="N840" s="329">
        <f t="shared" si="670"/>
        <v>0</v>
      </c>
    </row>
    <row r="841" spans="1:14" ht="13.5" customHeight="1">
      <c r="A841" s="144"/>
      <c r="B841" s="145"/>
      <c r="C841" s="146" t="s">
        <v>239</v>
      </c>
      <c r="D841" s="151">
        <v>100</v>
      </c>
      <c r="E841" s="147">
        <v>0</v>
      </c>
      <c r="F841" s="230">
        <v>50</v>
      </c>
      <c r="G841" s="147"/>
      <c r="H841" s="147">
        <f t="shared" ref="H841:H842" si="674">+F841+G841</f>
        <v>50</v>
      </c>
      <c r="I841" s="147"/>
      <c r="J841" s="147">
        <f t="shared" ref="J841:J842" si="675">+H841+I841</f>
        <v>50</v>
      </c>
      <c r="K841" s="147"/>
      <c r="L841" s="229">
        <v>50</v>
      </c>
      <c r="M841" s="335">
        <f t="shared" si="640"/>
        <v>0</v>
      </c>
      <c r="N841" s="329">
        <f t="shared" si="670"/>
        <v>0</v>
      </c>
    </row>
    <row r="842" spans="1:14" ht="13.5" customHeight="1">
      <c r="A842" s="144"/>
      <c r="B842" s="145"/>
      <c r="C842" s="146" t="s">
        <v>497</v>
      </c>
      <c r="D842" s="151">
        <v>300</v>
      </c>
      <c r="E842" s="147">
        <v>100</v>
      </c>
      <c r="F842" s="230">
        <v>0</v>
      </c>
      <c r="G842" s="147"/>
      <c r="H842" s="147">
        <f t="shared" si="674"/>
        <v>0</v>
      </c>
      <c r="I842" s="147"/>
      <c r="J842" s="147">
        <f t="shared" si="675"/>
        <v>0</v>
      </c>
      <c r="K842" s="147"/>
      <c r="L842" s="229"/>
      <c r="M842" s="335" t="e">
        <f t="shared" si="640"/>
        <v>#DIV/0!</v>
      </c>
      <c r="N842" s="329">
        <f t="shared" si="670"/>
        <v>0</v>
      </c>
    </row>
    <row r="843" spans="1:14" ht="13.5" customHeight="1">
      <c r="A843" s="32"/>
      <c r="B843" s="33">
        <v>5514</v>
      </c>
      <c r="C843" s="34" t="s">
        <v>508</v>
      </c>
      <c r="D843" s="52">
        <v>1300</v>
      </c>
      <c r="E843" s="17">
        <v>1800</v>
      </c>
      <c r="F843" s="224">
        <v>1800</v>
      </c>
      <c r="G843" s="17">
        <v>200</v>
      </c>
      <c r="H843" s="17">
        <f>+F843+G843</f>
        <v>2000</v>
      </c>
      <c r="I843" s="17">
        <v>-600</v>
      </c>
      <c r="J843" s="17">
        <f>+H843+I843</f>
        <v>1400</v>
      </c>
      <c r="K843" s="17">
        <v>194</v>
      </c>
      <c r="L843" s="226">
        <v>500</v>
      </c>
      <c r="M843" s="335">
        <f t="shared" si="640"/>
        <v>-0.6428571428571429</v>
      </c>
      <c r="N843" s="329">
        <f t="shared" si="670"/>
        <v>-900</v>
      </c>
    </row>
    <row r="844" spans="1:14" ht="13.5" customHeight="1">
      <c r="A844" s="32"/>
      <c r="B844" s="33">
        <v>5515</v>
      </c>
      <c r="C844" s="34" t="s">
        <v>509</v>
      </c>
      <c r="D844" s="52">
        <v>200</v>
      </c>
      <c r="E844" s="17">
        <v>300</v>
      </c>
      <c r="F844" s="224">
        <v>0</v>
      </c>
      <c r="G844" s="17">
        <v>200</v>
      </c>
      <c r="H844" s="17">
        <f t="shared" ref="H844:H847" si="676">+F844+G844</f>
        <v>200</v>
      </c>
      <c r="I844" s="17"/>
      <c r="J844" s="17">
        <f t="shared" ref="J844:J847" si="677">+H844+I844</f>
        <v>200</v>
      </c>
      <c r="K844" s="17">
        <v>-85.99</v>
      </c>
      <c r="L844" s="226">
        <v>250</v>
      </c>
      <c r="M844" s="335">
        <f t="shared" si="640"/>
        <v>0.25</v>
      </c>
      <c r="N844" s="329">
        <f t="shared" si="670"/>
        <v>50</v>
      </c>
    </row>
    <row r="845" spans="1:14" ht="13.5" customHeight="1">
      <c r="A845" s="32"/>
      <c r="B845" s="33">
        <v>5522</v>
      </c>
      <c r="C845" s="34" t="s">
        <v>262</v>
      </c>
      <c r="D845" s="52">
        <v>290</v>
      </c>
      <c r="E845" s="17">
        <v>0</v>
      </c>
      <c r="F845" s="224">
        <v>250</v>
      </c>
      <c r="G845" s="17"/>
      <c r="H845" s="17">
        <f t="shared" si="676"/>
        <v>250</v>
      </c>
      <c r="I845" s="17"/>
      <c r="J845" s="17">
        <f t="shared" si="677"/>
        <v>250</v>
      </c>
      <c r="K845" s="17">
        <v>225</v>
      </c>
      <c r="L845" s="226">
        <v>50</v>
      </c>
      <c r="M845" s="335">
        <f t="shared" si="640"/>
        <v>-0.8</v>
      </c>
      <c r="N845" s="329">
        <f t="shared" si="670"/>
        <v>-200</v>
      </c>
    </row>
    <row r="846" spans="1:14" ht="13.5" customHeight="1">
      <c r="A846" s="32"/>
      <c r="B846" s="33">
        <v>5523</v>
      </c>
      <c r="C846" s="34" t="s">
        <v>484</v>
      </c>
      <c r="D846" s="52">
        <v>3500</v>
      </c>
      <c r="E846" s="17">
        <v>4000</v>
      </c>
      <c r="F846" s="224">
        <v>4500</v>
      </c>
      <c r="G846" s="17"/>
      <c r="H846" s="17">
        <f t="shared" si="676"/>
        <v>4500</v>
      </c>
      <c r="I846" s="17"/>
      <c r="J846" s="17">
        <f t="shared" si="677"/>
        <v>4500</v>
      </c>
      <c r="K846" s="17">
        <v>3169</v>
      </c>
      <c r="L846" s="226">
        <v>3300</v>
      </c>
      <c r="M846" s="335">
        <f t="shared" si="640"/>
        <v>-0.26666666666666666</v>
      </c>
      <c r="N846" s="329">
        <f t="shared" si="670"/>
        <v>-1200</v>
      </c>
    </row>
    <row r="847" spans="1:14" ht="13.5" customHeight="1">
      <c r="A847" s="32"/>
      <c r="B847" s="33">
        <v>5525</v>
      </c>
      <c r="C847" s="34" t="s">
        <v>510</v>
      </c>
      <c r="D847" s="52">
        <v>400</v>
      </c>
      <c r="E847" s="17">
        <v>1000</v>
      </c>
      <c r="F847" s="224">
        <v>800</v>
      </c>
      <c r="G847" s="17"/>
      <c r="H847" s="17">
        <f t="shared" si="676"/>
        <v>800</v>
      </c>
      <c r="I847" s="17"/>
      <c r="J847" s="17">
        <f t="shared" si="677"/>
        <v>800</v>
      </c>
      <c r="K847" s="17">
        <v>18</v>
      </c>
      <c r="L847" s="226">
        <v>800</v>
      </c>
      <c r="M847" s="335">
        <f t="shared" si="640"/>
        <v>0</v>
      </c>
      <c r="N847" s="329">
        <f t="shared" si="670"/>
        <v>0</v>
      </c>
    </row>
    <row r="848" spans="1:14" ht="13.5" customHeight="1">
      <c r="A848" s="45" t="s">
        <v>511</v>
      </c>
      <c r="B848" s="46"/>
      <c r="C848" s="63" t="s">
        <v>512</v>
      </c>
      <c r="D848" s="53">
        <v>19295</v>
      </c>
      <c r="E848" s="50">
        <v>20093</v>
      </c>
      <c r="F848" s="50">
        <f t="shared" ref="F848" si="678">+F849+F850</f>
        <v>22922</v>
      </c>
      <c r="G848" s="50">
        <f t="shared" ref="G848:H848" si="679">+G849+G850</f>
        <v>550</v>
      </c>
      <c r="H848" s="50">
        <f t="shared" si="679"/>
        <v>23472</v>
      </c>
      <c r="I848" s="50">
        <f t="shared" ref="I848:J848" si="680">+I849+I850</f>
        <v>-4900</v>
      </c>
      <c r="J848" s="50">
        <f t="shared" si="680"/>
        <v>18572</v>
      </c>
      <c r="K848" s="50">
        <f t="shared" ref="K848:L848" si="681">+K849+K850</f>
        <v>14237</v>
      </c>
      <c r="L848" s="50">
        <f t="shared" si="681"/>
        <v>0</v>
      </c>
      <c r="M848" s="335">
        <f t="shared" si="640"/>
        <v>-1</v>
      </c>
      <c r="N848" s="329">
        <f t="shared" si="670"/>
        <v>-18572</v>
      </c>
    </row>
    <row r="849" spans="1:14" ht="13.5" customHeight="1">
      <c r="A849" s="32"/>
      <c r="B849" s="38" t="s">
        <v>210</v>
      </c>
      <c r="C849" s="39" t="s">
        <v>211</v>
      </c>
      <c r="D849" s="51">
        <v>11725</v>
      </c>
      <c r="E849" s="143">
        <v>12893</v>
      </c>
      <c r="F849" s="226">
        <v>14772</v>
      </c>
      <c r="G849" s="143"/>
      <c r="H849" s="143">
        <f>+F849+G849</f>
        <v>14772</v>
      </c>
      <c r="I849" s="152">
        <v>-1000</v>
      </c>
      <c r="J849" s="143">
        <f>+H849+I849</f>
        <v>13772</v>
      </c>
      <c r="K849" s="143">
        <v>11126</v>
      </c>
      <c r="L849" s="143"/>
      <c r="M849" s="335">
        <f t="shared" si="640"/>
        <v>-1</v>
      </c>
      <c r="N849" s="329">
        <f t="shared" si="670"/>
        <v>-13772</v>
      </c>
    </row>
    <row r="850" spans="1:14" ht="13.5" customHeight="1">
      <c r="A850" s="32"/>
      <c r="B850" s="38" t="s">
        <v>212</v>
      </c>
      <c r="C850" s="39" t="s">
        <v>213</v>
      </c>
      <c r="D850" s="51">
        <v>7570</v>
      </c>
      <c r="E850" s="137">
        <v>7200</v>
      </c>
      <c r="F850" s="137">
        <f>+F851+F853+F854+F860+F861+F862+F863+F864+F865+F852</f>
        <v>8150</v>
      </c>
      <c r="G850" s="137">
        <f t="shared" ref="G850:H850" si="682">+G851+G853+G854+G860+G861+G862+G863+G864+G865+G852</f>
        <v>550</v>
      </c>
      <c r="H850" s="137">
        <f t="shared" si="682"/>
        <v>8700</v>
      </c>
      <c r="I850" s="137">
        <f t="shared" ref="I850:K850" si="683">+I851+I853+I854+I860+I861+I862+I863+I864+I865+I852</f>
        <v>-3900</v>
      </c>
      <c r="J850" s="137">
        <f t="shared" si="683"/>
        <v>4800</v>
      </c>
      <c r="K850" s="137">
        <f t="shared" si="683"/>
        <v>3111</v>
      </c>
      <c r="L850" s="137">
        <f>+L851+L853+L854+L860+L861+L862+L863+L864+L865+L852</f>
        <v>0</v>
      </c>
      <c r="M850" s="335">
        <f t="shared" si="640"/>
        <v>-1</v>
      </c>
      <c r="N850" s="329">
        <f t="shared" si="670"/>
        <v>-4800</v>
      </c>
    </row>
    <row r="851" spans="1:14" ht="13.5" customHeight="1">
      <c r="A851" s="32"/>
      <c r="B851" s="33">
        <v>5500</v>
      </c>
      <c r="C851" s="34" t="s">
        <v>327</v>
      </c>
      <c r="D851" s="52">
        <v>1500</v>
      </c>
      <c r="E851" s="17">
        <v>1450</v>
      </c>
      <c r="F851" s="226">
        <v>1300</v>
      </c>
      <c r="G851" s="17">
        <v>300</v>
      </c>
      <c r="H851" s="17">
        <f>+F851+G851</f>
        <v>1600</v>
      </c>
      <c r="I851" s="17">
        <v>-1500</v>
      </c>
      <c r="J851" s="17">
        <f>+H851+I851</f>
        <v>100</v>
      </c>
      <c r="K851" s="17">
        <v>22</v>
      </c>
      <c r="L851" s="226"/>
      <c r="M851" s="335">
        <f t="shared" si="640"/>
        <v>-1</v>
      </c>
      <c r="N851" s="329">
        <f t="shared" si="670"/>
        <v>-100</v>
      </c>
    </row>
    <row r="852" spans="1:14" ht="13.5" customHeight="1">
      <c r="A852" s="32"/>
      <c r="B852" s="33">
        <v>5503</v>
      </c>
      <c r="C852" s="34" t="s">
        <v>216</v>
      </c>
      <c r="D852" s="52"/>
      <c r="E852" s="17">
        <v>0</v>
      </c>
      <c r="F852" s="226">
        <v>300</v>
      </c>
      <c r="G852" s="17">
        <v>-300</v>
      </c>
      <c r="H852" s="17">
        <f>+F852+G852</f>
        <v>0</v>
      </c>
      <c r="I852" s="17"/>
      <c r="J852" s="17">
        <f>+H852+I852</f>
        <v>0</v>
      </c>
      <c r="K852" s="17"/>
      <c r="L852" s="226"/>
      <c r="M852" s="335" t="e">
        <f t="shared" si="640"/>
        <v>#DIV/0!</v>
      </c>
      <c r="N852" s="329">
        <f t="shared" si="670"/>
        <v>0</v>
      </c>
    </row>
    <row r="853" spans="1:14" ht="13.5" customHeight="1">
      <c r="A853" s="32"/>
      <c r="B853" s="33">
        <v>5504</v>
      </c>
      <c r="C853" s="34" t="s">
        <v>230</v>
      </c>
      <c r="D853" s="52">
        <v>50</v>
      </c>
      <c r="E853" s="17">
        <v>0</v>
      </c>
      <c r="F853" s="226">
        <v>300</v>
      </c>
      <c r="G853" s="17">
        <v>-250</v>
      </c>
      <c r="H853" s="17">
        <f>+F853+G853</f>
        <v>50</v>
      </c>
      <c r="I853" s="17">
        <v>-50</v>
      </c>
      <c r="J853" s="17">
        <f>+H853+I853</f>
        <v>0</v>
      </c>
      <c r="K853" s="17">
        <v>9</v>
      </c>
      <c r="L853" s="226"/>
      <c r="M853" s="335" t="e">
        <f t="shared" si="640"/>
        <v>#DIV/0!</v>
      </c>
      <c r="N853" s="329">
        <f t="shared" si="670"/>
        <v>0</v>
      </c>
    </row>
    <row r="854" spans="1:14" ht="13.5" customHeight="1">
      <c r="A854" s="32"/>
      <c r="B854" s="33">
        <v>5511</v>
      </c>
      <c r="C854" s="34" t="s">
        <v>404</v>
      </c>
      <c r="D854" s="52">
        <v>2450</v>
      </c>
      <c r="E854" s="17">
        <v>2250</v>
      </c>
      <c r="F854" s="226">
        <f t="shared" ref="F854" si="684">SUM(F855:F858)</f>
        <v>2400</v>
      </c>
      <c r="G854" s="17">
        <f>SUM(G855:G859)</f>
        <v>800</v>
      </c>
      <c r="H854" s="17">
        <f>SUM(H855:H859)</f>
        <v>3200</v>
      </c>
      <c r="I854" s="17">
        <f>SUM(I855:I859)</f>
        <v>-450</v>
      </c>
      <c r="J854" s="17">
        <f>SUM(J855:J859)</f>
        <v>2750</v>
      </c>
      <c r="K854" s="17">
        <f>SUM(K855:K859)</f>
        <v>1380</v>
      </c>
      <c r="L854" s="226">
        <f t="shared" ref="L854" si="685">SUM(L855:L858)</f>
        <v>0</v>
      </c>
      <c r="M854" s="335">
        <f t="shared" si="640"/>
        <v>-1</v>
      </c>
      <c r="N854" s="329">
        <f t="shared" si="670"/>
        <v>-2750</v>
      </c>
    </row>
    <row r="855" spans="1:14" s="142" customFormat="1" ht="13.5" customHeight="1">
      <c r="A855" s="144"/>
      <c r="B855" s="145"/>
      <c r="C855" s="146" t="s">
        <v>233</v>
      </c>
      <c r="D855" s="151">
        <v>500</v>
      </c>
      <c r="E855" s="147">
        <v>1000</v>
      </c>
      <c r="F855" s="229">
        <v>800</v>
      </c>
      <c r="G855" s="147">
        <v>200</v>
      </c>
      <c r="H855" s="147">
        <f>+F855+G855</f>
        <v>1000</v>
      </c>
      <c r="I855" s="147">
        <v>-1000</v>
      </c>
      <c r="J855" s="147">
        <f>+H855+I855</f>
        <v>0</v>
      </c>
      <c r="K855" s="147"/>
      <c r="L855" s="229"/>
      <c r="M855" s="335" t="e">
        <f t="shared" si="640"/>
        <v>#DIV/0!</v>
      </c>
      <c r="N855" s="329">
        <f t="shared" si="670"/>
        <v>0</v>
      </c>
    </row>
    <row r="856" spans="1:14" s="142" customFormat="1" ht="13.5" customHeight="1">
      <c r="A856" s="144"/>
      <c r="B856" s="145"/>
      <c r="C856" s="146" t="s">
        <v>513</v>
      </c>
      <c r="D856" s="151">
        <v>700</v>
      </c>
      <c r="E856" s="147">
        <v>1200</v>
      </c>
      <c r="F856" s="229">
        <v>1500</v>
      </c>
      <c r="G856" s="147">
        <v>500</v>
      </c>
      <c r="H856" s="147">
        <f t="shared" ref="H856:H859" si="686">+F856+G856</f>
        <v>2000</v>
      </c>
      <c r="I856" s="147">
        <v>550</v>
      </c>
      <c r="J856" s="147">
        <f t="shared" ref="J856:J859" si="687">+H856+I856</f>
        <v>2550</v>
      </c>
      <c r="K856" s="147">
        <v>1380</v>
      </c>
      <c r="L856" s="229"/>
      <c r="M856" s="335">
        <f t="shared" si="640"/>
        <v>-1</v>
      </c>
      <c r="N856" s="329">
        <f t="shared" si="670"/>
        <v>-2550</v>
      </c>
    </row>
    <row r="857" spans="1:14" s="142" customFormat="1" ht="13.5" customHeight="1">
      <c r="A857" s="144"/>
      <c r="B857" s="145"/>
      <c r="C857" s="146" t="s">
        <v>239</v>
      </c>
      <c r="D857" s="151">
        <v>50</v>
      </c>
      <c r="E857" s="147">
        <v>50</v>
      </c>
      <c r="F857" s="229">
        <v>100</v>
      </c>
      <c r="G857" s="147"/>
      <c r="H857" s="147">
        <f t="shared" si="686"/>
        <v>100</v>
      </c>
      <c r="I857" s="147"/>
      <c r="J857" s="147">
        <f t="shared" si="687"/>
        <v>100</v>
      </c>
      <c r="K857" s="147"/>
      <c r="L857" s="229"/>
      <c r="M857" s="335">
        <f t="shared" si="640"/>
        <v>-1</v>
      </c>
      <c r="N857" s="329">
        <f t="shared" si="670"/>
        <v>-100</v>
      </c>
    </row>
    <row r="858" spans="1:14" s="142" customFormat="1" ht="13.5" customHeight="1">
      <c r="A858" s="144"/>
      <c r="B858" s="145"/>
      <c r="C858" s="146" t="s">
        <v>488</v>
      </c>
      <c r="D858" s="151">
        <v>1200</v>
      </c>
      <c r="E858" s="147">
        <v>0</v>
      </c>
      <c r="F858" s="229">
        <v>0</v>
      </c>
      <c r="G858" s="147"/>
      <c r="H858" s="147">
        <f t="shared" si="686"/>
        <v>0</v>
      </c>
      <c r="I858" s="147"/>
      <c r="J858" s="147">
        <f t="shared" si="687"/>
        <v>0</v>
      </c>
      <c r="K858" s="147"/>
      <c r="L858" s="229"/>
      <c r="M858" s="335" t="e">
        <f t="shared" si="640"/>
        <v>#DIV/0!</v>
      </c>
      <c r="N858" s="329">
        <f t="shared" si="670"/>
        <v>0</v>
      </c>
    </row>
    <row r="859" spans="1:14" s="142" customFormat="1" ht="13.5" customHeight="1">
      <c r="A859" s="144"/>
      <c r="B859" s="145"/>
      <c r="C859" s="146" t="s">
        <v>514</v>
      </c>
      <c r="D859" s="151"/>
      <c r="E859" s="147"/>
      <c r="F859" s="229"/>
      <c r="G859" s="147">
        <v>100</v>
      </c>
      <c r="H859" s="147">
        <f t="shared" si="686"/>
        <v>100</v>
      </c>
      <c r="I859" s="147"/>
      <c r="J859" s="147">
        <f t="shared" si="687"/>
        <v>100</v>
      </c>
      <c r="K859" s="147"/>
      <c r="L859" s="229"/>
      <c r="M859" s="335">
        <f t="shared" si="640"/>
        <v>-1</v>
      </c>
      <c r="N859" s="329">
        <f t="shared" si="670"/>
        <v>-100</v>
      </c>
    </row>
    <row r="860" spans="1:14" ht="13.5" customHeight="1">
      <c r="A860" s="32"/>
      <c r="B860" s="33">
        <v>5513</v>
      </c>
      <c r="C860" s="34" t="s">
        <v>435</v>
      </c>
      <c r="D860" s="52">
        <v>100</v>
      </c>
      <c r="E860" s="17">
        <v>100</v>
      </c>
      <c r="F860" s="226">
        <v>150</v>
      </c>
      <c r="G860" s="17"/>
      <c r="H860" s="17">
        <f>+F860+G860</f>
        <v>150</v>
      </c>
      <c r="I860" s="17"/>
      <c r="J860" s="17">
        <f>+H860+I860</f>
        <v>150</v>
      </c>
      <c r="K860" s="17">
        <v>47</v>
      </c>
      <c r="L860" s="226"/>
      <c r="M860" s="335">
        <f t="shared" si="640"/>
        <v>-1</v>
      </c>
      <c r="N860" s="329">
        <f t="shared" si="670"/>
        <v>-150</v>
      </c>
    </row>
    <row r="861" spans="1:14" ht="13.5" customHeight="1">
      <c r="A861" s="32"/>
      <c r="B861" s="33">
        <v>5514</v>
      </c>
      <c r="C861" s="34" t="s">
        <v>508</v>
      </c>
      <c r="D861" s="52">
        <v>1100</v>
      </c>
      <c r="E861" s="17">
        <v>1100</v>
      </c>
      <c r="F861" s="226">
        <v>1000</v>
      </c>
      <c r="G861" s="17"/>
      <c r="H861" s="17">
        <f t="shared" ref="H861:H865" si="688">+F861+G861</f>
        <v>1000</v>
      </c>
      <c r="I861" s="17">
        <v>-400</v>
      </c>
      <c r="J861" s="17">
        <f t="shared" ref="J861:J865" si="689">+H861+I861</f>
        <v>600</v>
      </c>
      <c r="K861" s="17">
        <v>382</v>
      </c>
      <c r="L861" s="226"/>
      <c r="M861" s="335">
        <f t="shared" si="640"/>
        <v>-1</v>
      </c>
      <c r="N861" s="329">
        <f t="shared" si="670"/>
        <v>-600</v>
      </c>
    </row>
    <row r="862" spans="1:14" ht="13.5" customHeight="1">
      <c r="A862" s="32"/>
      <c r="B862" s="33">
        <v>5515</v>
      </c>
      <c r="C862" s="34" t="s">
        <v>509</v>
      </c>
      <c r="D862" s="52">
        <v>0</v>
      </c>
      <c r="E862" s="17">
        <v>0</v>
      </c>
      <c r="F862" s="226">
        <v>0</v>
      </c>
      <c r="G862" s="17"/>
      <c r="H862" s="17">
        <f t="shared" si="688"/>
        <v>0</v>
      </c>
      <c r="I862" s="17"/>
      <c r="J862" s="17">
        <f t="shared" si="689"/>
        <v>0</v>
      </c>
      <c r="K862" s="17"/>
      <c r="L862" s="226"/>
      <c r="M862" s="335" t="e">
        <f t="shared" si="640"/>
        <v>#DIV/0!</v>
      </c>
      <c r="N862" s="329">
        <f t="shared" si="670"/>
        <v>0</v>
      </c>
    </row>
    <row r="863" spans="1:14" ht="13.5" customHeight="1">
      <c r="A863" s="32"/>
      <c r="B863" s="33">
        <v>5522</v>
      </c>
      <c r="C863" s="34" t="s">
        <v>515</v>
      </c>
      <c r="D863" s="52">
        <v>220</v>
      </c>
      <c r="E863" s="17">
        <v>0</v>
      </c>
      <c r="F863" s="226">
        <v>0</v>
      </c>
      <c r="G863" s="17"/>
      <c r="H863" s="17">
        <f t="shared" si="688"/>
        <v>0</v>
      </c>
      <c r="I863" s="17"/>
      <c r="J863" s="17">
        <f t="shared" si="689"/>
        <v>0</v>
      </c>
      <c r="K863" s="17"/>
      <c r="L863" s="226"/>
      <c r="M863" s="335" t="e">
        <f t="shared" si="640"/>
        <v>#DIV/0!</v>
      </c>
      <c r="N863" s="329">
        <f t="shared" si="670"/>
        <v>0</v>
      </c>
    </row>
    <row r="864" spans="1:14" ht="13.5" customHeight="1">
      <c r="A864" s="32"/>
      <c r="B864" s="33">
        <v>5523</v>
      </c>
      <c r="C864" s="34" t="s">
        <v>484</v>
      </c>
      <c r="D864" s="52">
        <v>2000</v>
      </c>
      <c r="E864" s="17">
        <v>2000</v>
      </c>
      <c r="F864" s="226">
        <v>2200</v>
      </c>
      <c r="G864" s="17"/>
      <c r="H864" s="17">
        <f t="shared" si="688"/>
        <v>2200</v>
      </c>
      <c r="I864" s="17">
        <v>-1200</v>
      </c>
      <c r="J864" s="17">
        <f t="shared" si="689"/>
        <v>1000</v>
      </c>
      <c r="K864" s="17">
        <v>1142</v>
      </c>
      <c r="L864" s="226"/>
      <c r="M864" s="335">
        <f t="shared" si="640"/>
        <v>-1</v>
      </c>
      <c r="N864" s="329">
        <f t="shared" si="670"/>
        <v>-1000</v>
      </c>
    </row>
    <row r="865" spans="1:14" ht="13.5" customHeight="1">
      <c r="A865" s="32"/>
      <c r="B865" s="33">
        <v>5525</v>
      </c>
      <c r="C865" s="34" t="s">
        <v>510</v>
      </c>
      <c r="D865" s="52">
        <v>150</v>
      </c>
      <c r="E865" s="17">
        <v>300</v>
      </c>
      <c r="F865" s="226">
        <v>500</v>
      </c>
      <c r="G865" s="17"/>
      <c r="H865" s="17">
        <f t="shared" si="688"/>
        <v>500</v>
      </c>
      <c r="I865" s="17">
        <v>-300</v>
      </c>
      <c r="J865" s="17">
        <f t="shared" si="689"/>
        <v>200</v>
      </c>
      <c r="K865" s="17">
        <v>129</v>
      </c>
      <c r="L865" s="226"/>
      <c r="M865" s="335">
        <f t="shared" si="640"/>
        <v>-1</v>
      </c>
      <c r="N865" s="329">
        <f t="shared" si="670"/>
        <v>-200</v>
      </c>
    </row>
    <row r="866" spans="1:14" ht="13.5" customHeight="1">
      <c r="A866" s="45" t="s">
        <v>516</v>
      </c>
      <c r="B866" s="46"/>
      <c r="C866" s="63" t="s">
        <v>517</v>
      </c>
      <c r="D866" s="53">
        <v>23120</v>
      </c>
      <c r="E866" s="104">
        <v>24065</v>
      </c>
      <c r="F866" s="104">
        <f t="shared" ref="F866" si="690">+F867+F868</f>
        <v>28504</v>
      </c>
      <c r="G866" s="104">
        <f t="shared" ref="G866:H866" si="691">+G867+G868</f>
        <v>0</v>
      </c>
      <c r="H866" s="104">
        <f t="shared" si="691"/>
        <v>28504</v>
      </c>
      <c r="I866" s="104">
        <f t="shared" ref="I866:J866" si="692">+I867+I868</f>
        <v>-500</v>
      </c>
      <c r="J866" s="104">
        <f t="shared" si="692"/>
        <v>28004</v>
      </c>
      <c r="K866" s="104">
        <f t="shared" ref="K866:L866" si="693">+K867+K868</f>
        <v>18846.79</v>
      </c>
      <c r="L866" s="104">
        <f t="shared" si="693"/>
        <v>25000</v>
      </c>
      <c r="M866" s="335">
        <f t="shared" si="640"/>
        <v>-0.10727038994429368</v>
      </c>
      <c r="N866" s="329">
        <f t="shared" si="670"/>
        <v>-3004</v>
      </c>
    </row>
    <row r="867" spans="1:14" ht="13.5" customHeight="1">
      <c r="A867" s="32"/>
      <c r="B867" s="38" t="s">
        <v>210</v>
      </c>
      <c r="C867" s="39" t="s">
        <v>211</v>
      </c>
      <c r="D867" s="51">
        <v>14450</v>
      </c>
      <c r="E867" s="143">
        <v>15455</v>
      </c>
      <c r="F867" s="226">
        <v>18304</v>
      </c>
      <c r="G867" s="143"/>
      <c r="H867" s="143">
        <f>+F867+G867</f>
        <v>18304</v>
      </c>
      <c r="I867" s="143"/>
      <c r="J867" s="143">
        <f>+H867+I867</f>
        <v>18304</v>
      </c>
      <c r="K867" s="143">
        <v>13256</v>
      </c>
      <c r="L867" s="152">
        <v>18700</v>
      </c>
      <c r="M867" s="335">
        <f t="shared" si="640"/>
        <v>2.1634615384615384E-2</v>
      </c>
      <c r="N867" s="329">
        <f t="shared" si="670"/>
        <v>396</v>
      </c>
    </row>
    <row r="868" spans="1:14" ht="13.5" customHeight="1">
      <c r="A868" s="32"/>
      <c r="B868" s="38" t="s">
        <v>212</v>
      </c>
      <c r="C868" s="39" t="s">
        <v>213</v>
      </c>
      <c r="D868" s="51">
        <v>8670</v>
      </c>
      <c r="E868" s="137">
        <v>8610</v>
      </c>
      <c r="F868" s="137">
        <f t="shared" ref="F868:H868" si="694">+F869+F870+F871+F872+F877+F878+F879+F881+F882+F884+F885</f>
        <v>10200</v>
      </c>
      <c r="G868" s="137">
        <f t="shared" si="694"/>
        <v>0</v>
      </c>
      <c r="H868" s="137">
        <f t="shared" si="694"/>
        <v>10200</v>
      </c>
      <c r="I868" s="137">
        <f t="shared" ref="I868:K868" si="695">+I869+I870+I871+I872+I877+I878+I879+I881+I882+I884+I885</f>
        <v>-500</v>
      </c>
      <c r="J868" s="137">
        <f t="shared" si="695"/>
        <v>9700</v>
      </c>
      <c r="K868" s="137">
        <f t="shared" si="695"/>
        <v>5590.79</v>
      </c>
      <c r="L868" s="137">
        <f>+L869+L870+L871+L872+L877+L878+L879+L881+L882+L884+L885+L880</f>
        <v>6300</v>
      </c>
      <c r="M868" s="335">
        <f t="shared" si="640"/>
        <v>-0.35051546391752575</v>
      </c>
      <c r="N868" s="329">
        <f t="shared" si="670"/>
        <v>-3400</v>
      </c>
    </row>
    <row r="869" spans="1:14" ht="13.5" customHeight="1">
      <c r="A869" s="32"/>
      <c r="B869" s="33">
        <v>5500</v>
      </c>
      <c r="C869" s="34" t="s">
        <v>327</v>
      </c>
      <c r="D869" s="52">
        <v>1850</v>
      </c>
      <c r="E869" s="17">
        <v>1480</v>
      </c>
      <c r="F869" s="226">
        <v>1500</v>
      </c>
      <c r="G869" s="17">
        <v>200</v>
      </c>
      <c r="H869" s="17">
        <f t="shared" ref="H869:H870" si="696">+F869+G869</f>
        <v>1700</v>
      </c>
      <c r="I869" s="17">
        <v>-500</v>
      </c>
      <c r="J869" s="17">
        <f t="shared" ref="J869:J870" si="697">+H869+I869</f>
        <v>1200</v>
      </c>
      <c r="K869" s="17">
        <v>850</v>
      </c>
      <c r="L869" s="226">
        <v>2100</v>
      </c>
      <c r="M869" s="335">
        <f t="shared" si="640"/>
        <v>0.75</v>
      </c>
      <c r="N869" s="329">
        <f t="shared" si="670"/>
        <v>900</v>
      </c>
    </row>
    <row r="870" spans="1:14" ht="13.5" customHeight="1">
      <c r="A870" s="32"/>
      <c r="B870" s="33">
        <v>5503</v>
      </c>
      <c r="C870" s="34" t="s">
        <v>216</v>
      </c>
      <c r="D870" s="52">
        <v>0</v>
      </c>
      <c r="E870" s="17">
        <v>0</v>
      </c>
      <c r="F870" s="226">
        <v>300</v>
      </c>
      <c r="G870" s="17"/>
      <c r="H870" s="17">
        <f t="shared" si="696"/>
        <v>300</v>
      </c>
      <c r="I870" s="17"/>
      <c r="J870" s="17">
        <f t="shared" si="697"/>
        <v>300</v>
      </c>
      <c r="K870" s="17"/>
      <c r="L870" s="226"/>
      <c r="M870" s="335">
        <f t="shared" si="640"/>
        <v>-1</v>
      </c>
      <c r="N870" s="329">
        <f t="shared" si="670"/>
        <v>-300</v>
      </c>
    </row>
    <row r="871" spans="1:14" ht="13.5" customHeight="1">
      <c r="A871" s="32"/>
      <c r="B871" s="33">
        <v>5504</v>
      </c>
      <c r="C871" s="34" t="s">
        <v>230</v>
      </c>
      <c r="D871" s="52">
        <v>400</v>
      </c>
      <c r="E871" s="17">
        <v>50</v>
      </c>
      <c r="F871" s="226">
        <v>300</v>
      </c>
      <c r="G871" s="17"/>
      <c r="H871" s="17">
        <f>+F871+G871</f>
        <v>300</v>
      </c>
      <c r="I871" s="17"/>
      <c r="J871" s="17">
        <f>+H871+I871</f>
        <v>300</v>
      </c>
      <c r="K871" s="17">
        <v>269</v>
      </c>
      <c r="L871" s="226">
        <v>250</v>
      </c>
      <c r="M871" s="335">
        <f t="shared" si="640"/>
        <v>-0.16666666666666666</v>
      </c>
      <c r="N871" s="329">
        <f t="shared" si="670"/>
        <v>-50</v>
      </c>
    </row>
    <row r="872" spans="1:14" ht="13.5" customHeight="1">
      <c r="A872" s="32"/>
      <c r="B872" s="33">
        <v>5511</v>
      </c>
      <c r="C872" s="34" t="s">
        <v>404</v>
      </c>
      <c r="D872" s="52">
        <v>100</v>
      </c>
      <c r="E872" s="17">
        <v>60</v>
      </c>
      <c r="F872" s="226">
        <f>F873+F875+F876</f>
        <v>50</v>
      </c>
      <c r="G872" s="17">
        <f>SUM(G873:G876)</f>
        <v>0</v>
      </c>
      <c r="H872" s="17">
        <f>SUM(H873:H876)</f>
        <v>50</v>
      </c>
      <c r="I872" s="17">
        <f>SUM(I873:I876)</f>
        <v>0</v>
      </c>
      <c r="J872" s="17">
        <f>SUM(J873:J876)</f>
        <v>50</v>
      </c>
      <c r="K872" s="17">
        <f>SUM(K873:K876)</f>
        <v>38.79</v>
      </c>
      <c r="L872" s="226">
        <f>L873+L875+L876</f>
        <v>50</v>
      </c>
      <c r="M872" s="335">
        <f t="shared" si="640"/>
        <v>0</v>
      </c>
      <c r="N872" s="329">
        <f t="shared" si="670"/>
        <v>0</v>
      </c>
    </row>
    <row r="873" spans="1:14" ht="13.5" customHeight="1">
      <c r="A873" s="144"/>
      <c r="B873" s="145"/>
      <c r="C873" s="146" t="s">
        <v>239</v>
      </c>
      <c r="D873" s="151">
        <v>100</v>
      </c>
      <c r="E873" s="147">
        <v>0</v>
      </c>
      <c r="F873" s="229">
        <v>50</v>
      </c>
      <c r="G873" s="147"/>
      <c r="H873" s="147">
        <f t="shared" ref="H873:H876" si="698">+F873+G873</f>
        <v>50</v>
      </c>
      <c r="I873" s="147"/>
      <c r="J873" s="147">
        <f t="shared" ref="J873" si="699">+H873+I873</f>
        <v>50</v>
      </c>
      <c r="K873" s="147">
        <v>1.95</v>
      </c>
      <c r="L873" s="229">
        <v>50</v>
      </c>
      <c r="M873" s="335">
        <f t="shared" si="640"/>
        <v>0</v>
      </c>
      <c r="N873" s="329">
        <f t="shared" si="670"/>
        <v>0</v>
      </c>
    </row>
    <row r="874" spans="1:14" ht="13.5" customHeight="1">
      <c r="A874" s="144"/>
      <c r="B874" s="145"/>
      <c r="C874" s="146" t="s">
        <v>241</v>
      </c>
      <c r="D874" s="151"/>
      <c r="E874" s="147"/>
      <c r="F874" s="229"/>
      <c r="G874" s="147"/>
      <c r="H874" s="147"/>
      <c r="I874" s="147"/>
      <c r="J874" s="147"/>
      <c r="K874" s="147">
        <v>15.84</v>
      </c>
      <c r="L874" s="229"/>
      <c r="M874" s="335" t="e">
        <f t="shared" si="640"/>
        <v>#DIV/0!</v>
      </c>
      <c r="N874" s="329">
        <f t="shared" si="670"/>
        <v>0</v>
      </c>
    </row>
    <row r="875" spans="1:14" ht="13.5" customHeight="1">
      <c r="A875" s="144"/>
      <c r="B875" s="145"/>
      <c r="C875" s="146" t="s">
        <v>448</v>
      </c>
      <c r="D875" s="151"/>
      <c r="E875" s="147"/>
      <c r="F875" s="229"/>
      <c r="G875" s="147"/>
      <c r="H875" s="147"/>
      <c r="I875" s="147"/>
      <c r="J875" s="147"/>
      <c r="K875" s="147"/>
      <c r="L875" s="229"/>
      <c r="M875" s="335" t="e">
        <f t="shared" si="640"/>
        <v>#DIV/0!</v>
      </c>
      <c r="N875" s="329">
        <f t="shared" si="670"/>
        <v>0</v>
      </c>
    </row>
    <row r="876" spans="1:14" ht="13.5" customHeight="1">
      <c r="A876" s="144"/>
      <c r="B876" s="145"/>
      <c r="C876" s="146" t="s">
        <v>497</v>
      </c>
      <c r="D876" s="151">
        <v>300</v>
      </c>
      <c r="E876" s="147">
        <v>60</v>
      </c>
      <c r="F876" s="229">
        <v>0</v>
      </c>
      <c r="G876" s="147"/>
      <c r="H876" s="147">
        <f t="shared" si="698"/>
        <v>0</v>
      </c>
      <c r="I876" s="147"/>
      <c r="J876" s="147">
        <f t="shared" ref="J876" si="700">+H876+I876</f>
        <v>0</v>
      </c>
      <c r="K876" s="147">
        <v>21</v>
      </c>
      <c r="L876" s="229"/>
      <c r="M876" s="335" t="e">
        <f t="shared" ref="M876:M941" si="701">(L876-J876)/J876</f>
        <v>#DIV/0!</v>
      </c>
      <c r="N876" s="329">
        <f t="shared" si="670"/>
        <v>0</v>
      </c>
    </row>
    <row r="877" spans="1:14" ht="13.5" customHeight="1">
      <c r="A877" s="32"/>
      <c r="B877" s="33">
        <v>5513</v>
      </c>
      <c r="C877" s="34" t="s">
        <v>435</v>
      </c>
      <c r="D877" s="52">
        <v>70</v>
      </c>
      <c r="E877" s="17">
        <v>0</v>
      </c>
      <c r="F877" s="226">
        <v>100</v>
      </c>
      <c r="G877" s="17"/>
      <c r="H877" s="17">
        <f>+F877+G877</f>
        <v>100</v>
      </c>
      <c r="I877" s="17"/>
      <c r="J877" s="17">
        <f>+H877+I877</f>
        <v>100</v>
      </c>
      <c r="K877" s="17"/>
      <c r="L877" s="226">
        <v>150</v>
      </c>
      <c r="M877" s="335">
        <f t="shared" si="701"/>
        <v>0.5</v>
      </c>
      <c r="N877" s="329">
        <f t="shared" si="670"/>
        <v>50</v>
      </c>
    </row>
    <row r="878" spans="1:14" ht="13.5" customHeight="1">
      <c r="A878" s="32"/>
      <c r="B878" s="33">
        <v>5514</v>
      </c>
      <c r="C878" s="34" t="s">
        <v>508</v>
      </c>
      <c r="D878" s="52">
        <v>1000</v>
      </c>
      <c r="E878" s="17">
        <v>950</v>
      </c>
      <c r="F878" s="226">
        <v>950</v>
      </c>
      <c r="G878" s="17"/>
      <c r="H878" s="17">
        <f t="shared" ref="H878:H885" si="702">+F878+G878</f>
        <v>950</v>
      </c>
      <c r="I878" s="17"/>
      <c r="J878" s="17">
        <f t="shared" ref="J878:J882" si="703">+H878+I878</f>
        <v>950</v>
      </c>
      <c r="K878" s="17">
        <v>295</v>
      </c>
      <c r="L878" s="226">
        <v>450</v>
      </c>
      <c r="M878" s="335">
        <f t="shared" si="701"/>
        <v>-0.52631578947368418</v>
      </c>
      <c r="N878" s="329">
        <f t="shared" si="670"/>
        <v>-500</v>
      </c>
    </row>
    <row r="879" spans="1:14" ht="13.5" customHeight="1">
      <c r="A879" s="32"/>
      <c r="B879" s="33">
        <v>5515</v>
      </c>
      <c r="C879" s="34" t="s">
        <v>509</v>
      </c>
      <c r="D879" s="52">
        <v>700</v>
      </c>
      <c r="E879" s="17">
        <v>400</v>
      </c>
      <c r="F879" s="226">
        <v>400</v>
      </c>
      <c r="G879" s="17"/>
      <c r="H879" s="17">
        <f t="shared" si="702"/>
        <v>400</v>
      </c>
      <c r="I879" s="17"/>
      <c r="J879" s="17">
        <f t="shared" si="703"/>
        <v>400</v>
      </c>
      <c r="K879" s="17">
        <v>324</v>
      </c>
      <c r="L879" s="226">
        <v>500</v>
      </c>
      <c r="M879" s="335">
        <f t="shared" si="701"/>
        <v>0.25</v>
      </c>
      <c r="N879" s="329">
        <f t="shared" si="670"/>
        <v>100</v>
      </c>
    </row>
    <row r="880" spans="1:14" ht="13.5" customHeight="1">
      <c r="A880" s="32"/>
      <c r="B880" s="33">
        <v>5516</v>
      </c>
      <c r="C880" s="34" t="s">
        <v>259</v>
      </c>
      <c r="D880" s="52"/>
      <c r="E880" s="17"/>
      <c r="F880" s="226"/>
      <c r="G880" s="17"/>
      <c r="H880" s="17"/>
      <c r="I880" s="17"/>
      <c r="J880" s="17"/>
      <c r="K880" s="17"/>
      <c r="L880" s="226">
        <v>200</v>
      </c>
      <c r="M880" s="335"/>
      <c r="N880" s="329">
        <f t="shared" si="670"/>
        <v>200</v>
      </c>
    </row>
    <row r="881" spans="1:14" ht="13.5" customHeight="1">
      <c r="A881" s="32"/>
      <c r="B881" s="33">
        <v>5522</v>
      </c>
      <c r="C881" s="34" t="s">
        <v>515</v>
      </c>
      <c r="D881" s="52">
        <v>100</v>
      </c>
      <c r="E881" s="17">
        <v>30</v>
      </c>
      <c r="F881" s="226">
        <v>100</v>
      </c>
      <c r="G881" s="17"/>
      <c r="H881" s="17">
        <f t="shared" si="702"/>
        <v>100</v>
      </c>
      <c r="I881" s="17"/>
      <c r="J881" s="17">
        <f t="shared" si="703"/>
        <v>100</v>
      </c>
      <c r="K881" s="17"/>
      <c r="L881" s="226">
        <v>100</v>
      </c>
      <c r="M881" s="335">
        <f t="shared" si="701"/>
        <v>0</v>
      </c>
      <c r="N881" s="329">
        <f t="shared" si="670"/>
        <v>0</v>
      </c>
    </row>
    <row r="882" spans="1:14" ht="13.5" customHeight="1">
      <c r="A882" s="32"/>
      <c r="B882" s="33">
        <v>5523</v>
      </c>
      <c r="C882" s="34" t="s">
        <v>484</v>
      </c>
      <c r="D882" s="52">
        <v>2600</v>
      </c>
      <c r="E882" s="17">
        <v>3860</v>
      </c>
      <c r="F882" s="226">
        <v>4300</v>
      </c>
      <c r="G882" s="17"/>
      <c r="H882" s="17">
        <f t="shared" si="702"/>
        <v>4300</v>
      </c>
      <c r="I882" s="17"/>
      <c r="J882" s="17">
        <f t="shared" si="703"/>
        <v>4300</v>
      </c>
      <c r="K882" s="17">
        <v>2868</v>
      </c>
      <c r="L882" s="226">
        <f>2.5*600</f>
        <v>1500</v>
      </c>
      <c r="M882" s="335">
        <f t="shared" si="701"/>
        <v>-0.65116279069767447</v>
      </c>
      <c r="N882" s="329">
        <f t="shared" si="670"/>
        <v>-2800</v>
      </c>
    </row>
    <row r="883" spans="1:14" ht="13.5" customHeight="1">
      <c r="A883" s="32"/>
      <c r="B883" s="33">
        <v>5524</v>
      </c>
      <c r="C883" s="34" t="s">
        <v>456</v>
      </c>
      <c r="D883" s="52"/>
      <c r="E883" s="17"/>
      <c r="F883" s="226">
        <v>0</v>
      </c>
      <c r="G883" s="17"/>
      <c r="H883" s="17"/>
      <c r="I883" s="17"/>
      <c r="J883" s="17"/>
      <c r="K883" s="17"/>
      <c r="L883" s="226">
        <v>1500</v>
      </c>
      <c r="M883" s="335" t="e">
        <f t="shared" si="701"/>
        <v>#DIV/0!</v>
      </c>
      <c r="N883" s="329">
        <f t="shared" si="670"/>
        <v>1500</v>
      </c>
    </row>
    <row r="884" spans="1:14" ht="13.5" customHeight="1">
      <c r="A884" s="32"/>
      <c r="B884" s="33">
        <v>5525</v>
      </c>
      <c r="C884" s="34" t="s">
        <v>510</v>
      </c>
      <c r="D884" s="52">
        <v>1850</v>
      </c>
      <c r="E884" s="17">
        <v>1780</v>
      </c>
      <c r="F884" s="226">
        <f>1850+350</f>
        <v>2200</v>
      </c>
      <c r="G884" s="17">
        <v>-200</v>
      </c>
      <c r="H884" s="17">
        <f t="shared" si="702"/>
        <v>2000</v>
      </c>
      <c r="I884" s="17"/>
      <c r="J884" s="17">
        <f t="shared" ref="J884:J885" si="704">+H884+I884</f>
        <v>2000</v>
      </c>
      <c r="K884" s="17">
        <v>946</v>
      </c>
      <c r="L884" s="226">
        <v>1000</v>
      </c>
      <c r="M884" s="335">
        <f t="shared" si="701"/>
        <v>-0.5</v>
      </c>
      <c r="N884" s="329">
        <f t="shared" si="670"/>
        <v>-1000</v>
      </c>
    </row>
    <row r="885" spans="1:14" ht="13.5" customHeight="1">
      <c r="A885" s="32"/>
      <c r="B885" s="33">
        <v>5540</v>
      </c>
      <c r="C885" s="34" t="s">
        <v>457</v>
      </c>
      <c r="D885" s="52">
        <v>0</v>
      </c>
      <c r="E885" s="17">
        <v>0</v>
      </c>
      <c r="F885" s="226">
        <v>0</v>
      </c>
      <c r="G885" s="17"/>
      <c r="H885" s="17">
        <f t="shared" si="702"/>
        <v>0</v>
      </c>
      <c r="I885" s="17"/>
      <c r="J885" s="17">
        <f t="shared" si="704"/>
        <v>0</v>
      </c>
      <c r="K885" s="17"/>
      <c r="L885" s="226"/>
      <c r="M885" s="335" t="e">
        <f t="shared" si="701"/>
        <v>#DIV/0!</v>
      </c>
      <c r="N885" s="329">
        <f t="shared" si="670"/>
        <v>0</v>
      </c>
    </row>
    <row r="886" spans="1:14" ht="13.5" customHeight="1">
      <c r="A886" s="45" t="s">
        <v>518</v>
      </c>
      <c r="B886" s="46"/>
      <c r="C886" s="47" t="s">
        <v>519</v>
      </c>
      <c r="D886" s="53">
        <v>9080</v>
      </c>
      <c r="E886" s="50">
        <v>8858</v>
      </c>
      <c r="F886" s="50">
        <f t="shared" ref="F886" si="705">+F887+F888</f>
        <v>10159</v>
      </c>
      <c r="G886" s="50">
        <f t="shared" ref="G886:H886" si="706">+G887+G888</f>
        <v>500</v>
      </c>
      <c r="H886" s="50">
        <f t="shared" si="706"/>
        <v>10659</v>
      </c>
      <c r="I886" s="50">
        <f t="shared" ref="I886:J886" si="707">+I887+I888</f>
        <v>0</v>
      </c>
      <c r="J886" s="50">
        <f t="shared" si="707"/>
        <v>10659</v>
      </c>
      <c r="K886" s="50">
        <f t="shared" ref="K886:L886" si="708">+K887+K888</f>
        <v>7037</v>
      </c>
      <c r="L886" s="50">
        <f t="shared" si="708"/>
        <v>9300</v>
      </c>
      <c r="M886" s="335">
        <f t="shared" si="701"/>
        <v>-0.12749788910779622</v>
      </c>
      <c r="N886" s="329">
        <f t="shared" si="670"/>
        <v>-1359</v>
      </c>
    </row>
    <row r="887" spans="1:14" ht="13.5" customHeight="1">
      <c r="A887" s="32"/>
      <c r="B887" s="38" t="s">
        <v>210</v>
      </c>
      <c r="C887" s="39" t="s">
        <v>211</v>
      </c>
      <c r="D887" s="51">
        <v>5780</v>
      </c>
      <c r="E887" s="143">
        <v>6358</v>
      </c>
      <c r="F887" s="226">
        <v>7322</v>
      </c>
      <c r="G887" s="143"/>
      <c r="H887" s="143">
        <f>+F887+G887</f>
        <v>7322</v>
      </c>
      <c r="I887" s="143"/>
      <c r="J887" s="143">
        <f>+H887+I887</f>
        <v>7322</v>
      </c>
      <c r="K887" s="143">
        <v>5494</v>
      </c>
      <c r="L887" s="152">
        <v>7350</v>
      </c>
      <c r="M887" s="335">
        <f t="shared" si="701"/>
        <v>3.8240917782026767E-3</v>
      </c>
      <c r="N887" s="329">
        <f t="shared" si="670"/>
        <v>28</v>
      </c>
    </row>
    <row r="888" spans="1:14" ht="13.5" customHeight="1">
      <c r="A888" s="32"/>
      <c r="B888" s="38" t="s">
        <v>212</v>
      </c>
      <c r="C888" s="39" t="s">
        <v>213</v>
      </c>
      <c r="D888" s="51">
        <v>3300</v>
      </c>
      <c r="E888" s="137">
        <v>2500</v>
      </c>
      <c r="F888" s="137">
        <f t="shared" ref="F888:K888" si="709">+F889+F890+F891+F894+F895+F896+F897</f>
        <v>2837</v>
      </c>
      <c r="G888" s="137">
        <f t="shared" si="709"/>
        <v>500</v>
      </c>
      <c r="H888" s="137">
        <f t="shared" si="709"/>
        <v>3337</v>
      </c>
      <c r="I888" s="137">
        <f t="shared" si="709"/>
        <v>0</v>
      </c>
      <c r="J888" s="137">
        <f t="shared" si="709"/>
        <v>3337</v>
      </c>
      <c r="K888" s="137">
        <f t="shared" si="709"/>
        <v>1543</v>
      </c>
      <c r="L888" s="137">
        <f t="shared" ref="L888" si="710">+L889+L890+L891+L894+L895+L896+L897</f>
        <v>1950</v>
      </c>
      <c r="M888" s="335">
        <f t="shared" si="701"/>
        <v>-0.41564279292777945</v>
      </c>
      <c r="N888" s="329">
        <f t="shared" si="670"/>
        <v>-1387</v>
      </c>
    </row>
    <row r="889" spans="1:14" ht="13.5" customHeight="1">
      <c r="A889" s="32"/>
      <c r="B889" s="33">
        <v>5500</v>
      </c>
      <c r="C889" s="34" t="s">
        <v>327</v>
      </c>
      <c r="D889" s="52">
        <v>600</v>
      </c>
      <c r="E889" s="17">
        <v>400</v>
      </c>
      <c r="F889" s="224">
        <v>560</v>
      </c>
      <c r="G889" s="17"/>
      <c r="H889" s="17">
        <f>+F889+G889</f>
        <v>560</v>
      </c>
      <c r="I889" s="17"/>
      <c r="J889" s="17">
        <f>+H889+I889</f>
        <v>560</v>
      </c>
      <c r="K889" s="17">
        <v>409</v>
      </c>
      <c r="L889" s="226">
        <v>600</v>
      </c>
      <c r="M889" s="335">
        <f t="shared" si="701"/>
        <v>7.1428571428571425E-2</v>
      </c>
      <c r="N889" s="329">
        <f t="shared" si="670"/>
        <v>40</v>
      </c>
    </row>
    <row r="890" spans="1:14" ht="13.5" customHeight="1">
      <c r="A890" s="32"/>
      <c r="B890" s="33">
        <v>5504</v>
      </c>
      <c r="C890" s="34" t="s">
        <v>230</v>
      </c>
      <c r="D890" s="52"/>
      <c r="E890" s="17">
        <v>0</v>
      </c>
      <c r="F890" s="224"/>
      <c r="G890" s="17"/>
      <c r="H890" s="17">
        <f>+F890+G890</f>
        <v>0</v>
      </c>
      <c r="I890" s="17"/>
      <c r="J890" s="17">
        <f>+H890+I890</f>
        <v>0</v>
      </c>
      <c r="K890" s="17"/>
      <c r="L890" s="226"/>
      <c r="M890" s="335" t="e">
        <f t="shared" si="701"/>
        <v>#DIV/0!</v>
      </c>
      <c r="N890" s="329">
        <f t="shared" si="670"/>
        <v>0</v>
      </c>
    </row>
    <row r="891" spans="1:14" ht="13.5" customHeight="1">
      <c r="A891" s="32"/>
      <c r="B891" s="33">
        <v>5511</v>
      </c>
      <c r="C891" s="34" t="s">
        <v>404</v>
      </c>
      <c r="D891" s="52">
        <v>900</v>
      </c>
      <c r="E891" s="17">
        <v>300</v>
      </c>
      <c r="F891" s="224">
        <f t="shared" ref="F891" si="711">SUM(F892:F893)</f>
        <v>237</v>
      </c>
      <c r="G891" s="17">
        <f t="shared" ref="G891:H891" si="712">SUM(G892:G893)</f>
        <v>0</v>
      </c>
      <c r="H891" s="17">
        <f t="shared" si="712"/>
        <v>237</v>
      </c>
      <c r="I891" s="17">
        <f t="shared" ref="I891:L891" si="713">SUM(I892:I893)</f>
        <v>7</v>
      </c>
      <c r="J891" s="17">
        <f t="shared" si="713"/>
        <v>244</v>
      </c>
      <c r="K891" s="17">
        <f t="shared" si="713"/>
        <v>244</v>
      </c>
      <c r="L891" s="224">
        <f t="shared" si="713"/>
        <v>250</v>
      </c>
      <c r="M891" s="335">
        <f t="shared" si="701"/>
        <v>2.4590163934426229E-2</v>
      </c>
      <c r="N891" s="329">
        <f t="shared" si="670"/>
        <v>6</v>
      </c>
    </row>
    <row r="892" spans="1:14" ht="13.5" customHeight="1">
      <c r="A892" s="144"/>
      <c r="B892" s="145"/>
      <c r="C892" s="146" t="s">
        <v>239</v>
      </c>
      <c r="D892" s="151">
        <v>100</v>
      </c>
      <c r="E892" s="147">
        <v>0</v>
      </c>
      <c r="F892" s="230">
        <v>0</v>
      </c>
      <c r="G892" s="147"/>
      <c r="H892" s="147">
        <f t="shared" ref="H892:H893" si="714">+F892+G892</f>
        <v>0</v>
      </c>
      <c r="I892" s="147"/>
      <c r="J892" s="147">
        <f t="shared" ref="J892:J893" si="715">+H892+I892</f>
        <v>0</v>
      </c>
      <c r="K892" s="147"/>
      <c r="L892" s="229"/>
      <c r="M892" s="335" t="e">
        <f t="shared" si="701"/>
        <v>#DIV/0!</v>
      </c>
      <c r="N892" s="329">
        <f t="shared" si="670"/>
        <v>0</v>
      </c>
    </row>
    <row r="893" spans="1:14" ht="13.5" customHeight="1">
      <c r="A893" s="144"/>
      <c r="B893" s="145"/>
      <c r="C893" s="146" t="s">
        <v>520</v>
      </c>
      <c r="D893" s="151">
        <v>300</v>
      </c>
      <c r="E893" s="147">
        <v>300</v>
      </c>
      <c r="F893" s="230">
        <v>237</v>
      </c>
      <c r="G893" s="147"/>
      <c r="H893" s="147">
        <f t="shared" si="714"/>
        <v>237</v>
      </c>
      <c r="I893" s="147">
        <v>7</v>
      </c>
      <c r="J893" s="147">
        <f t="shared" si="715"/>
        <v>244</v>
      </c>
      <c r="K893" s="147">
        <v>244</v>
      </c>
      <c r="L893" s="229">
        <v>250</v>
      </c>
      <c r="M893" s="335">
        <f t="shared" si="701"/>
        <v>2.4590163934426229E-2</v>
      </c>
      <c r="N893" s="329">
        <f t="shared" si="670"/>
        <v>6</v>
      </c>
    </row>
    <row r="894" spans="1:14" ht="13.5" customHeight="1">
      <c r="A894" s="32"/>
      <c r="B894" s="33">
        <v>5514</v>
      </c>
      <c r="C894" s="34" t="s">
        <v>508</v>
      </c>
      <c r="D894" s="52">
        <v>300</v>
      </c>
      <c r="E894" s="17">
        <v>300</v>
      </c>
      <c r="F894" s="224">
        <v>240</v>
      </c>
      <c r="G894" s="17"/>
      <c r="H894" s="17">
        <f>+F894+G894</f>
        <v>240</v>
      </c>
      <c r="I894" s="17"/>
      <c r="J894" s="17">
        <f>+H894+I894</f>
        <v>240</v>
      </c>
      <c r="K894" s="17">
        <v>180</v>
      </c>
      <c r="L894" s="226">
        <v>250</v>
      </c>
      <c r="M894" s="335">
        <f t="shared" si="701"/>
        <v>4.1666666666666664E-2</v>
      </c>
      <c r="N894" s="329">
        <f t="shared" si="670"/>
        <v>10</v>
      </c>
    </row>
    <row r="895" spans="1:14" ht="13.5" customHeight="1">
      <c r="A895" s="32"/>
      <c r="B895" s="33">
        <v>5515</v>
      </c>
      <c r="C895" s="34" t="s">
        <v>509</v>
      </c>
      <c r="D895" s="52">
        <v>0</v>
      </c>
      <c r="E895" s="17">
        <v>0</v>
      </c>
      <c r="F895" s="224">
        <v>0</v>
      </c>
      <c r="G895" s="17"/>
      <c r="H895" s="17">
        <f t="shared" ref="H895:H897" si="716">+F895+G895</f>
        <v>0</v>
      </c>
      <c r="I895" s="17"/>
      <c r="J895" s="17">
        <f t="shared" ref="J895:J897" si="717">+H895+I895</f>
        <v>0</v>
      </c>
      <c r="K895" s="17"/>
      <c r="L895" s="226">
        <v>50</v>
      </c>
      <c r="M895" s="335" t="e">
        <f t="shared" si="701"/>
        <v>#DIV/0!</v>
      </c>
      <c r="N895" s="329">
        <f t="shared" si="670"/>
        <v>50</v>
      </c>
    </row>
    <row r="896" spans="1:14" ht="13.5" customHeight="1">
      <c r="A896" s="32"/>
      <c r="B896" s="33">
        <v>5523</v>
      </c>
      <c r="C896" s="34" t="s">
        <v>484</v>
      </c>
      <c r="D896" s="52">
        <v>1500</v>
      </c>
      <c r="E896" s="17">
        <v>1500</v>
      </c>
      <c r="F896" s="224">
        <v>1800</v>
      </c>
      <c r="G896" s="17"/>
      <c r="H896" s="17">
        <f t="shared" si="716"/>
        <v>1800</v>
      </c>
      <c r="I896" s="17"/>
      <c r="J896" s="17">
        <f t="shared" si="717"/>
        <v>1800</v>
      </c>
      <c r="K896" s="17">
        <v>710</v>
      </c>
      <c r="L896" s="226">
        <v>300</v>
      </c>
      <c r="M896" s="335">
        <f t="shared" si="701"/>
        <v>-0.83333333333333337</v>
      </c>
      <c r="N896" s="329">
        <f t="shared" si="670"/>
        <v>-1500</v>
      </c>
    </row>
    <row r="897" spans="1:14" ht="13.5" customHeight="1">
      <c r="A897" s="32"/>
      <c r="B897" s="33">
        <v>5525</v>
      </c>
      <c r="C897" s="34" t="s">
        <v>510</v>
      </c>
      <c r="D897" s="52"/>
      <c r="E897" s="95"/>
      <c r="F897" s="224">
        <v>0</v>
      </c>
      <c r="G897" s="196">
        <v>500</v>
      </c>
      <c r="H897" s="17">
        <f t="shared" si="716"/>
        <v>500</v>
      </c>
      <c r="I897" s="17">
        <v>-7</v>
      </c>
      <c r="J897" s="17">
        <f t="shared" si="717"/>
        <v>493</v>
      </c>
      <c r="K897" s="17"/>
      <c r="L897" s="226">
        <v>500</v>
      </c>
      <c r="M897" s="335">
        <f t="shared" si="701"/>
        <v>1.4198782961460446E-2</v>
      </c>
      <c r="N897" s="329">
        <f t="shared" si="670"/>
        <v>7</v>
      </c>
    </row>
    <row r="898" spans="1:14" ht="13.5" customHeight="1">
      <c r="A898" s="45" t="s">
        <v>521</v>
      </c>
      <c r="B898" s="46"/>
      <c r="C898" s="47" t="s">
        <v>522</v>
      </c>
      <c r="D898" s="53">
        <v>80265</v>
      </c>
      <c r="E898" s="50">
        <v>84968</v>
      </c>
      <c r="F898" s="50">
        <f t="shared" ref="F898" si="718">+F899+F900</f>
        <v>105904</v>
      </c>
      <c r="G898" s="50">
        <f t="shared" ref="G898:H898" si="719">+G899+G900</f>
        <v>1562</v>
      </c>
      <c r="H898" s="50">
        <f t="shared" si="719"/>
        <v>107466</v>
      </c>
      <c r="I898" s="50">
        <f t="shared" ref="I898:J898" si="720">+I899+I900</f>
        <v>-2500</v>
      </c>
      <c r="J898" s="50">
        <f t="shared" si="720"/>
        <v>104966</v>
      </c>
      <c r="K898" s="50">
        <f t="shared" ref="K898:L898" si="721">+K899+K900</f>
        <v>67259</v>
      </c>
      <c r="L898" s="50">
        <f t="shared" si="721"/>
        <v>104200</v>
      </c>
      <c r="M898" s="335">
        <f t="shared" si="701"/>
        <v>-7.2976011279842993E-3</v>
      </c>
      <c r="N898" s="329">
        <f t="shared" si="670"/>
        <v>-766</v>
      </c>
    </row>
    <row r="899" spans="1:14" ht="13.5" customHeight="1">
      <c r="A899" s="32"/>
      <c r="B899" s="38" t="s">
        <v>210</v>
      </c>
      <c r="C899" s="39" t="s">
        <v>211</v>
      </c>
      <c r="D899" s="51">
        <v>40025</v>
      </c>
      <c r="E899" s="143">
        <v>46928</v>
      </c>
      <c r="F899" s="224">
        <v>51338</v>
      </c>
      <c r="G899" s="143">
        <v>-231</v>
      </c>
      <c r="H899" s="143">
        <f t="shared" ref="H899:H917" si="722">+G899+F899</f>
        <v>51107</v>
      </c>
      <c r="I899" s="322">
        <f>481-1289</f>
        <v>-808</v>
      </c>
      <c r="J899" s="143">
        <f t="shared" ref="J899" si="723">+I899+H899</f>
        <v>50299</v>
      </c>
      <c r="K899" s="143">
        <v>35709</v>
      </c>
      <c r="L899" s="152">
        <v>54200</v>
      </c>
      <c r="M899" s="335">
        <f t="shared" si="701"/>
        <v>7.7556213841229446E-2</v>
      </c>
      <c r="N899" s="329">
        <f t="shared" si="670"/>
        <v>3901</v>
      </c>
    </row>
    <row r="900" spans="1:14" ht="13.5" customHeight="1">
      <c r="A900" s="32"/>
      <c r="B900" s="38">
        <v>55</v>
      </c>
      <c r="C900" s="39" t="s">
        <v>213</v>
      </c>
      <c r="D900" s="51">
        <v>40240</v>
      </c>
      <c r="E900" s="137">
        <v>38040</v>
      </c>
      <c r="F900" s="137">
        <f>+F901+F902+F903+F914+F915+F916+F918+F919+F921+F917+F913</f>
        <v>54566</v>
      </c>
      <c r="G900" s="137">
        <f t="shared" ref="G900:H900" si="724">+G901+G902+G903+G914+G915+G916+G918+G919+G921+G917+G913</f>
        <v>1793</v>
      </c>
      <c r="H900" s="137">
        <f t="shared" si="724"/>
        <v>56359</v>
      </c>
      <c r="I900" s="137">
        <f t="shared" ref="I900" si="725">+I901+I902+I903+I914+I915+I916+I918+I919+I921+I917+I913</f>
        <v>-1692</v>
      </c>
      <c r="J900" s="137">
        <f t="shared" ref="J900:K900" si="726">+J901+J902+J903+J914+J915+J916+J918+J919+J921+J917+J913+J920</f>
        <v>54667</v>
      </c>
      <c r="K900" s="137">
        <f t="shared" si="726"/>
        <v>31550</v>
      </c>
      <c r="L900" s="137">
        <f>+L901+L902+L903+L914+L915+L916+L918+L919+L921+L917+L913+L920</f>
        <v>50000</v>
      </c>
      <c r="M900" s="335">
        <f t="shared" si="701"/>
        <v>-8.5371430662008155E-2</v>
      </c>
      <c r="N900" s="329">
        <f t="shared" si="670"/>
        <v>-4667</v>
      </c>
    </row>
    <row r="901" spans="1:14" ht="13.5" customHeight="1">
      <c r="A901" s="32"/>
      <c r="B901" s="33">
        <v>5500</v>
      </c>
      <c r="C901" s="34" t="s">
        <v>327</v>
      </c>
      <c r="D901" s="52">
        <v>940</v>
      </c>
      <c r="E901" s="17">
        <v>1340</v>
      </c>
      <c r="F901" s="224">
        <v>1260</v>
      </c>
      <c r="G901" s="17"/>
      <c r="H901" s="17">
        <f t="shared" si="722"/>
        <v>1260</v>
      </c>
      <c r="I901" s="17"/>
      <c r="J901" s="17">
        <f t="shared" ref="J901:J902" si="727">+I901+H901</f>
        <v>1260</v>
      </c>
      <c r="K901" s="17">
        <v>1096</v>
      </c>
      <c r="L901" s="224">
        <v>1300</v>
      </c>
      <c r="M901" s="335">
        <f t="shared" si="701"/>
        <v>3.1746031746031744E-2</v>
      </c>
      <c r="N901" s="329">
        <f t="shared" si="670"/>
        <v>40</v>
      </c>
    </row>
    <row r="902" spans="1:14" ht="13.5" customHeight="1">
      <c r="A902" s="32"/>
      <c r="B902" s="33">
        <v>5504</v>
      </c>
      <c r="C902" s="34" t="s">
        <v>230</v>
      </c>
      <c r="D902" s="52">
        <v>500</v>
      </c>
      <c r="E902" s="17">
        <v>500</v>
      </c>
      <c r="F902" s="224">
        <v>800</v>
      </c>
      <c r="G902" s="17"/>
      <c r="H902" s="17">
        <f t="shared" si="722"/>
        <v>800</v>
      </c>
      <c r="I902" s="17"/>
      <c r="J902" s="17">
        <f t="shared" si="727"/>
        <v>800</v>
      </c>
      <c r="K902" s="17">
        <v>385</v>
      </c>
      <c r="L902" s="224">
        <v>400</v>
      </c>
      <c r="M902" s="335">
        <f t="shared" si="701"/>
        <v>-0.5</v>
      </c>
      <c r="N902" s="329">
        <f t="shared" ref="N902:N965" si="728">L902-J902</f>
        <v>-400</v>
      </c>
    </row>
    <row r="903" spans="1:14" ht="13.5" customHeight="1">
      <c r="A903" s="32"/>
      <c r="B903" s="33">
        <v>5511</v>
      </c>
      <c r="C903" s="34" t="s">
        <v>404</v>
      </c>
      <c r="D903" s="52">
        <v>22100</v>
      </c>
      <c r="E903" s="17">
        <v>18000</v>
      </c>
      <c r="F903" s="224">
        <f t="shared" ref="F903" si="729">SUM(F904:F911)</f>
        <v>25006</v>
      </c>
      <c r="G903" s="17">
        <f>SUM(G904:G912)</f>
        <v>1793</v>
      </c>
      <c r="H903" s="17">
        <f>SUM(H904:H912)</f>
        <v>26799</v>
      </c>
      <c r="I903" s="17">
        <f>SUM(I904:I912)</f>
        <v>-1192</v>
      </c>
      <c r="J903" s="17">
        <f>SUM(J904:J912)</f>
        <v>25607</v>
      </c>
      <c r="K903" s="17">
        <f t="shared" ref="K903:L903" si="730">SUM(K904:K912)</f>
        <v>15518</v>
      </c>
      <c r="L903" s="17">
        <f t="shared" si="730"/>
        <v>21900</v>
      </c>
      <c r="M903" s="335">
        <f t="shared" si="701"/>
        <v>-0.14476510329206857</v>
      </c>
      <c r="N903" s="329">
        <f t="shared" si="728"/>
        <v>-3707</v>
      </c>
    </row>
    <row r="904" spans="1:14" s="142" customFormat="1" ht="13.5" customHeight="1">
      <c r="A904" s="144"/>
      <c r="B904" s="145"/>
      <c r="C904" s="146" t="s">
        <v>235</v>
      </c>
      <c r="D904" s="151">
        <v>6500</v>
      </c>
      <c r="E904" s="147">
        <v>7800</v>
      </c>
      <c r="F904" s="230">
        <v>11000</v>
      </c>
      <c r="G904" s="147"/>
      <c r="H904" s="147">
        <f t="shared" si="722"/>
        <v>11000</v>
      </c>
      <c r="I904" s="147"/>
      <c r="J904" s="147">
        <f t="shared" ref="J904:J921" si="731">+I904+H904</f>
        <v>11000</v>
      </c>
      <c r="K904" s="147">
        <v>8945</v>
      </c>
      <c r="L904" s="229">
        <v>11000</v>
      </c>
      <c r="M904" s="335">
        <f t="shared" si="701"/>
        <v>0</v>
      </c>
      <c r="N904" s="329">
        <f t="shared" si="728"/>
        <v>0</v>
      </c>
    </row>
    <row r="905" spans="1:14" s="142" customFormat="1" ht="13.5" customHeight="1">
      <c r="A905" s="144"/>
      <c r="B905" s="145"/>
      <c r="C905" s="146" t="s">
        <v>237</v>
      </c>
      <c r="D905" s="151">
        <v>400</v>
      </c>
      <c r="E905" s="147">
        <v>400</v>
      </c>
      <c r="F905" s="230">
        <v>200</v>
      </c>
      <c r="G905" s="147"/>
      <c r="H905" s="147">
        <f t="shared" si="722"/>
        <v>200</v>
      </c>
      <c r="I905" s="147">
        <v>-12</v>
      </c>
      <c r="J905" s="147">
        <f t="shared" si="731"/>
        <v>188</v>
      </c>
      <c r="K905" s="147">
        <v>119</v>
      </c>
      <c r="L905" s="229">
        <v>160</v>
      </c>
      <c r="M905" s="335">
        <f t="shared" si="701"/>
        <v>-0.14893617021276595</v>
      </c>
      <c r="N905" s="329">
        <f t="shared" si="728"/>
        <v>-28</v>
      </c>
    </row>
    <row r="906" spans="1:14" s="142" customFormat="1" ht="13.5" customHeight="1">
      <c r="A906" s="144"/>
      <c r="B906" s="145"/>
      <c r="C906" s="146" t="s">
        <v>239</v>
      </c>
      <c r="D906" s="151">
        <v>1200</v>
      </c>
      <c r="E906" s="147">
        <v>1200</v>
      </c>
      <c r="F906" s="230">
        <v>1000</v>
      </c>
      <c r="G906" s="147"/>
      <c r="H906" s="147">
        <f t="shared" si="722"/>
        <v>1000</v>
      </c>
      <c r="I906" s="147">
        <v>-192</v>
      </c>
      <c r="J906" s="147">
        <f t="shared" si="731"/>
        <v>808</v>
      </c>
      <c r="K906" s="147">
        <v>333</v>
      </c>
      <c r="L906" s="229">
        <v>1200</v>
      </c>
      <c r="M906" s="335">
        <f t="shared" si="701"/>
        <v>0.48514851485148514</v>
      </c>
      <c r="N906" s="329">
        <f t="shared" si="728"/>
        <v>392</v>
      </c>
    </row>
    <row r="907" spans="1:14" s="142" customFormat="1" ht="13.5" customHeight="1">
      <c r="A907" s="144"/>
      <c r="B907" s="145"/>
      <c r="C907" s="146" t="s">
        <v>241</v>
      </c>
      <c r="D907" s="151">
        <v>1000</v>
      </c>
      <c r="E907" s="147">
        <v>4000</v>
      </c>
      <c r="F907" s="230">
        <v>3800</v>
      </c>
      <c r="G907" s="147"/>
      <c r="H907" s="147">
        <f t="shared" si="722"/>
        <v>3800</v>
      </c>
      <c r="I907" s="147"/>
      <c r="J907" s="147">
        <f t="shared" si="731"/>
        <v>3800</v>
      </c>
      <c r="K907" s="147">
        <v>3650</v>
      </c>
      <c r="L907" s="229">
        <v>4000</v>
      </c>
      <c r="M907" s="335">
        <f t="shared" si="701"/>
        <v>5.2631578947368418E-2</v>
      </c>
      <c r="N907" s="329">
        <f t="shared" si="728"/>
        <v>200</v>
      </c>
    </row>
    <row r="908" spans="1:14" s="142" customFormat="1" ht="13.5" customHeight="1">
      <c r="A908" s="144"/>
      <c r="B908" s="145"/>
      <c r="C908" s="146" t="s">
        <v>243</v>
      </c>
      <c r="D908" s="151">
        <v>400</v>
      </c>
      <c r="E908" s="147">
        <v>500</v>
      </c>
      <c r="F908" s="230">
        <v>600</v>
      </c>
      <c r="G908" s="147"/>
      <c r="H908" s="147">
        <f t="shared" si="722"/>
        <v>600</v>
      </c>
      <c r="I908" s="147"/>
      <c r="J908" s="147">
        <f t="shared" si="731"/>
        <v>600</v>
      </c>
      <c r="K908" s="147">
        <v>653</v>
      </c>
      <c r="L908" s="229">
        <v>600</v>
      </c>
      <c r="M908" s="335">
        <f t="shared" si="701"/>
        <v>0</v>
      </c>
      <c r="N908" s="329">
        <f t="shared" si="728"/>
        <v>0</v>
      </c>
    </row>
    <row r="909" spans="1:14" s="142" customFormat="1" ht="13.5" customHeight="1">
      <c r="A909" s="144"/>
      <c r="B909" s="145"/>
      <c r="C909" s="146" t="s">
        <v>487</v>
      </c>
      <c r="D909" s="151">
        <v>12000</v>
      </c>
      <c r="E909" s="147">
        <v>3500</v>
      </c>
      <c r="F909" s="230">
        <v>8000</v>
      </c>
      <c r="G909" s="147"/>
      <c r="H909" s="147">
        <f t="shared" si="722"/>
        <v>8000</v>
      </c>
      <c r="I909" s="147">
        <v>-1000</v>
      </c>
      <c r="J909" s="147">
        <f t="shared" si="731"/>
        <v>7000</v>
      </c>
      <c r="K909" s="147">
        <v>86</v>
      </c>
      <c r="L909" s="229">
        <v>2500</v>
      </c>
      <c r="M909" s="335">
        <f t="shared" si="701"/>
        <v>-0.6428571428571429</v>
      </c>
      <c r="N909" s="329">
        <f t="shared" si="728"/>
        <v>-4500</v>
      </c>
    </row>
    <row r="910" spans="1:14" s="142" customFormat="1" ht="13.5" customHeight="1">
      <c r="A910" s="144"/>
      <c r="B910" s="145"/>
      <c r="C910" s="146" t="s">
        <v>247</v>
      </c>
      <c r="D910" s="151">
        <v>500</v>
      </c>
      <c r="E910" s="147">
        <v>500</v>
      </c>
      <c r="F910" s="230">
        <v>406</v>
      </c>
      <c r="G910" s="147"/>
      <c r="H910" s="147">
        <f t="shared" si="722"/>
        <v>406</v>
      </c>
      <c r="I910" s="147">
        <v>12</v>
      </c>
      <c r="J910" s="147">
        <f t="shared" si="731"/>
        <v>418</v>
      </c>
      <c r="K910" s="147">
        <v>418</v>
      </c>
      <c r="L910" s="229">
        <v>450</v>
      </c>
      <c r="M910" s="335">
        <f t="shared" si="701"/>
        <v>7.6555023923444973E-2</v>
      </c>
      <c r="N910" s="329">
        <f t="shared" si="728"/>
        <v>32</v>
      </c>
    </row>
    <row r="911" spans="1:14" s="142" customFormat="1" ht="13.5" customHeight="1">
      <c r="A911" s="144"/>
      <c r="B911" s="145"/>
      <c r="C911" s="146" t="s">
        <v>523</v>
      </c>
      <c r="D911" s="151">
        <v>100</v>
      </c>
      <c r="E911" s="147">
        <v>100</v>
      </c>
      <c r="F911" s="230">
        <v>0</v>
      </c>
      <c r="G911" s="147"/>
      <c r="H911" s="147">
        <f t="shared" si="722"/>
        <v>0</v>
      </c>
      <c r="I911" s="147"/>
      <c r="J911" s="147">
        <f t="shared" si="731"/>
        <v>0</v>
      </c>
      <c r="K911" s="147"/>
      <c r="L911" s="229"/>
      <c r="M911" s="335" t="e">
        <f t="shared" si="701"/>
        <v>#DIV/0!</v>
      </c>
      <c r="N911" s="329">
        <f t="shared" si="728"/>
        <v>0</v>
      </c>
    </row>
    <row r="912" spans="1:14" s="142" customFormat="1" ht="13.5" customHeight="1">
      <c r="A912" s="144"/>
      <c r="B912" s="145"/>
      <c r="C912" s="146" t="s">
        <v>524</v>
      </c>
      <c r="D912" s="151"/>
      <c r="E912" s="147"/>
      <c r="F912" s="230"/>
      <c r="G912" s="242">
        <v>1793</v>
      </c>
      <c r="H912" s="147">
        <f t="shared" si="722"/>
        <v>1793</v>
      </c>
      <c r="I912" s="147"/>
      <c r="J912" s="147">
        <f t="shared" si="731"/>
        <v>1793</v>
      </c>
      <c r="K912" s="147">
        <v>1314</v>
      </c>
      <c r="L912" s="229">
        <v>1990</v>
      </c>
      <c r="M912" s="335">
        <f t="shared" si="701"/>
        <v>0.10987172336865589</v>
      </c>
      <c r="N912" s="329">
        <f t="shared" si="728"/>
        <v>197</v>
      </c>
    </row>
    <row r="913" spans="1:14" s="142" customFormat="1" ht="13.5" customHeight="1">
      <c r="A913" s="144"/>
      <c r="B913" s="33">
        <v>5512</v>
      </c>
      <c r="C913" s="34" t="s">
        <v>344</v>
      </c>
      <c r="D913" s="154"/>
      <c r="E913" s="155"/>
      <c r="F913" s="224">
        <v>0</v>
      </c>
      <c r="G913" s="17"/>
      <c r="H913" s="17">
        <f t="shared" si="722"/>
        <v>0</v>
      </c>
      <c r="I913" s="17"/>
      <c r="J913" s="17">
        <f t="shared" si="731"/>
        <v>0</v>
      </c>
      <c r="K913" s="17">
        <v>91</v>
      </c>
      <c r="L913" s="226"/>
      <c r="M913" s="335" t="e">
        <f t="shared" si="701"/>
        <v>#DIV/0!</v>
      </c>
      <c r="N913" s="329">
        <f t="shared" si="728"/>
        <v>0</v>
      </c>
    </row>
    <row r="914" spans="1:14" ht="13.5" customHeight="1">
      <c r="A914" s="32"/>
      <c r="B914" s="33">
        <v>5513</v>
      </c>
      <c r="C914" s="34" t="s">
        <v>525</v>
      </c>
      <c r="D914" s="52">
        <v>1000</v>
      </c>
      <c r="E914" s="17">
        <v>1000</v>
      </c>
      <c r="F914" s="224">
        <v>1200</v>
      </c>
      <c r="G914" s="17"/>
      <c r="H914" s="17">
        <f t="shared" si="722"/>
        <v>1200</v>
      </c>
      <c r="I914" s="17"/>
      <c r="J914" s="17">
        <f t="shared" si="731"/>
        <v>1200</v>
      </c>
      <c r="K914" s="17">
        <v>527</v>
      </c>
      <c r="L914" s="226">
        <v>600</v>
      </c>
      <c r="M914" s="335">
        <f t="shared" si="701"/>
        <v>-0.5</v>
      </c>
      <c r="N914" s="329">
        <f t="shared" si="728"/>
        <v>-600</v>
      </c>
    </row>
    <row r="915" spans="1:14" ht="13.5" customHeight="1">
      <c r="A915" s="32"/>
      <c r="B915" s="33">
        <v>5514</v>
      </c>
      <c r="C915" s="34" t="s">
        <v>508</v>
      </c>
      <c r="D915" s="52">
        <v>600</v>
      </c>
      <c r="E915" s="17">
        <v>1800</v>
      </c>
      <c r="F915" s="224">
        <v>500</v>
      </c>
      <c r="G915" s="17"/>
      <c r="H915" s="17">
        <f t="shared" si="722"/>
        <v>500</v>
      </c>
      <c r="I915" s="17"/>
      <c r="J915" s="17">
        <f t="shared" si="731"/>
        <v>500</v>
      </c>
      <c r="K915" s="17">
        <v>192</v>
      </c>
      <c r="L915" s="226">
        <v>500</v>
      </c>
      <c r="M915" s="335">
        <f t="shared" si="701"/>
        <v>0</v>
      </c>
      <c r="N915" s="329">
        <f t="shared" si="728"/>
        <v>0</v>
      </c>
    </row>
    <row r="916" spans="1:14" ht="13.5" customHeight="1">
      <c r="A916" s="32"/>
      <c r="B916" s="33">
        <v>5515</v>
      </c>
      <c r="C916" s="34" t="s">
        <v>509</v>
      </c>
      <c r="D916" s="52">
        <v>4000</v>
      </c>
      <c r="E916" s="17">
        <v>2400</v>
      </c>
      <c r="F916" s="224">
        <v>8000</v>
      </c>
      <c r="G916" s="17"/>
      <c r="H916" s="17">
        <f t="shared" si="722"/>
        <v>8000</v>
      </c>
      <c r="I916" s="17"/>
      <c r="J916" s="17">
        <f t="shared" si="731"/>
        <v>8000</v>
      </c>
      <c r="K916" s="17">
        <v>4406</v>
      </c>
      <c r="L916" s="226">
        <v>5000</v>
      </c>
      <c r="M916" s="335">
        <f t="shared" si="701"/>
        <v>-0.375</v>
      </c>
      <c r="N916" s="329">
        <f t="shared" si="728"/>
        <v>-3000</v>
      </c>
    </row>
    <row r="917" spans="1:14" ht="13.5" customHeight="1">
      <c r="A917" s="32"/>
      <c r="B917" s="33" t="s">
        <v>258</v>
      </c>
      <c r="C917" s="34" t="s">
        <v>259</v>
      </c>
      <c r="D917" s="52"/>
      <c r="E917" s="17"/>
      <c r="F917" s="224">
        <v>1500</v>
      </c>
      <c r="G917" s="17"/>
      <c r="H917" s="17">
        <f t="shared" si="722"/>
        <v>1500</v>
      </c>
      <c r="I917" s="17">
        <v>-500</v>
      </c>
      <c r="J917" s="17">
        <f t="shared" si="731"/>
        <v>1000</v>
      </c>
      <c r="K917" s="17">
        <v>1183</v>
      </c>
      <c r="L917" s="226">
        <v>2000</v>
      </c>
      <c r="M917" s="335">
        <f t="shared" si="701"/>
        <v>1</v>
      </c>
      <c r="N917" s="329">
        <f t="shared" si="728"/>
        <v>1000</v>
      </c>
    </row>
    <row r="918" spans="1:14" ht="13.5" customHeight="1">
      <c r="A918" s="32"/>
      <c r="B918" s="33">
        <v>5522</v>
      </c>
      <c r="C918" s="34" t="s">
        <v>262</v>
      </c>
      <c r="D918" s="52">
        <v>100</v>
      </c>
      <c r="E918" s="17">
        <v>300</v>
      </c>
      <c r="F918" s="224">
        <v>100</v>
      </c>
      <c r="G918" s="17"/>
      <c r="H918" s="17">
        <f t="shared" ref="H918" si="732">+G918+F918</f>
        <v>100</v>
      </c>
      <c r="I918" s="17"/>
      <c r="J918" s="17">
        <f t="shared" si="731"/>
        <v>100</v>
      </c>
      <c r="K918" s="17">
        <v>23</v>
      </c>
      <c r="L918" s="226">
        <v>100</v>
      </c>
      <c r="M918" s="335">
        <f t="shared" si="701"/>
        <v>0</v>
      </c>
      <c r="N918" s="329">
        <f t="shared" si="728"/>
        <v>0</v>
      </c>
    </row>
    <row r="919" spans="1:14" ht="13.5" customHeight="1">
      <c r="A919" s="32"/>
      <c r="B919" s="33">
        <v>5525</v>
      </c>
      <c r="C919" s="34" t="s">
        <v>510</v>
      </c>
      <c r="D919" s="52">
        <v>11000</v>
      </c>
      <c r="E919" s="17">
        <v>12700</v>
      </c>
      <c r="F919" s="224">
        <v>15000</v>
      </c>
      <c r="G919" s="17"/>
      <c r="H919" s="17">
        <f t="shared" ref="H919:H921" si="733">+G919+F919</f>
        <v>15000</v>
      </c>
      <c r="I919" s="17"/>
      <c r="J919" s="17">
        <f t="shared" si="731"/>
        <v>15000</v>
      </c>
      <c r="K919" s="17">
        <v>7879</v>
      </c>
      <c r="L919" s="226">
        <v>16000</v>
      </c>
      <c r="M919" s="335">
        <f t="shared" si="701"/>
        <v>6.6666666666666666E-2</v>
      </c>
      <c r="N919" s="329">
        <f t="shared" si="728"/>
        <v>1000</v>
      </c>
    </row>
    <row r="920" spans="1:14" ht="13.5" customHeight="1">
      <c r="A920" s="32"/>
      <c r="B920" s="33">
        <v>5532</v>
      </c>
      <c r="C920" s="34" t="s">
        <v>378</v>
      </c>
      <c r="D920" s="52"/>
      <c r="E920" s="17"/>
      <c r="F920" s="224"/>
      <c r="G920" s="17"/>
      <c r="H920" s="17"/>
      <c r="I920" s="17"/>
      <c r="J920" s="17"/>
      <c r="K920" s="17"/>
      <c r="L920" s="226">
        <v>1700</v>
      </c>
      <c r="M920" s="335" t="e">
        <f t="shared" si="701"/>
        <v>#DIV/0!</v>
      </c>
      <c r="N920" s="329">
        <f t="shared" si="728"/>
        <v>1700</v>
      </c>
    </row>
    <row r="921" spans="1:14" ht="13.5" customHeight="1">
      <c r="A921" s="32"/>
      <c r="B921" s="33">
        <v>5540</v>
      </c>
      <c r="C921" s="34" t="s">
        <v>457</v>
      </c>
      <c r="D921" s="52">
        <v>0</v>
      </c>
      <c r="E921" s="17">
        <v>0</v>
      </c>
      <c r="F921" s="224">
        <v>1200</v>
      </c>
      <c r="G921" s="17"/>
      <c r="H921" s="17">
        <f t="shared" si="733"/>
        <v>1200</v>
      </c>
      <c r="I921" s="17"/>
      <c r="J921" s="17">
        <f t="shared" si="731"/>
        <v>1200</v>
      </c>
      <c r="K921" s="17">
        <v>250</v>
      </c>
      <c r="L921" s="226">
        <v>500</v>
      </c>
      <c r="M921" s="335">
        <f t="shared" si="701"/>
        <v>-0.58333333333333337</v>
      </c>
      <c r="N921" s="329">
        <f t="shared" si="728"/>
        <v>-700</v>
      </c>
    </row>
    <row r="922" spans="1:14" ht="13.5" customHeight="1">
      <c r="A922" s="45" t="s">
        <v>526</v>
      </c>
      <c r="B922" s="46"/>
      <c r="C922" s="47" t="s">
        <v>527</v>
      </c>
      <c r="D922" s="53">
        <v>70951</v>
      </c>
      <c r="E922" s="50">
        <v>70513</v>
      </c>
      <c r="F922" s="50">
        <f t="shared" ref="F922" si="734">+F923+F924</f>
        <v>88542</v>
      </c>
      <c r="G922" s="50">
        <f t="shared" ref="G922:H922" si="735">+G923+G924</f>
        <v>0</v>
      </c>
      <c r="H922" s="50">
        <f t="shared" si="735"/>
        <v>88542</v>
      </c>
      <c r="I922" s="50">
        <f t="shared" ref="I922:J922" si="736">+I923+I924</f>
        <v>-1000</v>
      </c>
      <c r="J922" s="50">
        <f t="shared" si="736"/>
        <v>87542</v>
      </c>
      <c r="K922" s="50">
        <f t="shared" ref="K922:L922" si="737">+K923+K924</f>
        <v>53494</v>
      </c>
      <c r="L922" s="50">
        <f t="shared" si="737"/>
        <v>92200</v>
      </c>
      <c r="M922" s="335">
        <f t="shared" si="701"/>
        <v>5.3208745516437825E-2</v>
      </c>
      <c r="N922" s="329">
        <f t="shared" si="728"/>
        <v>4658</v>
      </c>
    </row>
    <row r="923" spans="1:14" ht="13.5" customHeight="1">
      <c r="A923" s="32"/>
      <c r="B923" s="38" t="s">
        <v>210</v>
      </c>
      <c r="C923" s="39" t="s">
        <v>211</v>
      </c>
      <c r="D923" s="51">
        <v>34401</v>
      </c>
      <c r="E923" s="143">
        <v>40423</v>
      </c>
      <c r="F923" s="226">
        <v>45222</v>
      </c>
      <c r="G923" s="143"/>
      <c r="H923" s="143">
        <f t="shared" ref="H923" si="738">+G923+F923</f>
        <v>45222</v>
      </c>
      <c r="I923" s="143"/>
      <c r="J923" s="143">
        <f t="shared" ref="J923" si="739">+I923+H923</f>
        <v>45222</v>
      </c>
      <c r="K923" s="143">
        <v>32715</v>
      </c>
      <c r="L923" s="152">
        <v>47400</v>
      </c>
      <c r="M923" s="335">
        <f t="shared" si="701"/>
        <v>4.8162398832426692E-2</v>
      </c>
      <c r="N923" s="329">
        <f t="shared" si="728"/>
        <v>2178</v>
      </c>
    </row>
    <row r="924" spans="1:14" ht="13.5" customHeight="1">
      <c r="A924" s="32"/>
      <c r="B924" s="38" t="s">
        <v>212</v>
      </c>
      <c r="C924" s="39" t="s">
        <v>213</v>
      </c>
      <c r="D924" s="51">
        <v>36550</v>
      </c>
      <c r="E924" s="137">
        <v>30090</v>
      </c>
      <c r="F924" s="137">
        <f>+F925+F926+F927+F938+F939+F940+F941+F942+F943+F937</f>
        <v>43320</v>
      </c>
      <c r="G924" s="137">
        <f t="shared" ref="G924:H924" si="740">+G925+G926+G927+G938+G939+G940+G941+G942+G943+G937</f>
        <v>0</v>
      </c>
      <c r="H924" s="137">
        <f t="shared" si="740"/>
        <v>43320</v>
      </c>
      <c r="I924" s="137">
        <f t="shared" ref="I924:K924" si="741">+I925+I926+I927+I938+I939+I940+I941+I942+I943+I937</f>
        <v>-1000</v>
      </c>
      <c r="J924" s="137">
        <f t="shared" si="741"/>
        <v>42320</v>
      </c>
      <c r="K924" s="137">
        <f t="shared" si="741"/>
        <v>20779</v>
      </c>
      <c r="L924" s="137">
        <f>+L925+L926+L927+L938+L939+L940+L941+L942+L943+L937</f>
        <v>44800</v>
      </c>
      <c r="M924" s="335">
        <f t="shared" si="701"/>
        <v>5.8601134215500943E-2</v>
      </c>
      <c r="N924" s="329">
        <f t="shared" si="728"/>
        <v>2480</v>
      </c>
    </row>
    <row r="925" spans="1:14" ht="13.5" customHeight="1">
      <c r="A925" s="32"/>
      <c r="B925" s="33">
        <v>5500</v>
      </c>
      <c r="C925" s="34" t="s">
        <v>327</v>
      </c>
      <c r="D925" s="52">
        <v>1820</v>
      </c>
      <c r="E925" s="17">
        <v>870</v>
      </c>
      <c r="F925" s="226">
        <v>1800</v>
      </c>
      <c r="G925" s="17"/>
      <c r="H925" s="17">
        <f>+F925+G925</f>
        <v>1800</v>
      </c>
      <c r="I925" s="17"/>
      <c r="J925" s="17">
        <f>+H925+I925</f>
        <v>1800</v>
      </c>
      <c r="K925" s="17">
        <v>1098</v>
      </c>
      <c r="L925" s="226">
        <v>1800</v>
      </c>
      <c r="M925" s="335">
        <f t="shared" si="701"/>
        <v>0</v>
      </c>
      <c r="N925" s="329">
        <f t="shared" si="728"/>
        <v>0</v>
      </c>
    </row>
    <row r="926" spans="1:14" ht="13.5" customHeight="1">
      <c r="A926" s="32"/>
      <c r="B926" s="33">
        <v>5504</v>
      </c>
      <c r="C926" s="34" t="s">
        <v>230</v>
      </c>
      <c r="D926" s="52">
        <v>300</v>
      </c>
      <c r="E926" s="17">
        <v>250</v>
      </c>
      <c r="F926" s="226">
        <v>400</v>
      </c>
      <c r="G926" s="17"/>
      <c r="H926" s="17">
        <f>+F926+G926</f>
        <v>400</v>
      </c>
      <c r="I926" s="17"/>
      <c r="J926" s="17">
        <f>+H926+I926</f>
        <v>400</v>
      </c>
      <c r="K926" s="17">
        <v>162</v>
      </c>
      <c r="L926" s="226">
        <v>350</v>
      </c>
      <c r="M926" s="335">
        <f t="shared" si="701"/>
        <v>-0.125</v>
      </c>
      <c r="N926" s="329">
        <f t="shared" si="728"/>
        <v>-50</v>
      </c>
    </row>
    <row r="927" spans="1:14" ht="13.5" customHeight="1">
      <c r="A927" s="32"/>
      <c r="B927" s="33">
        <v>5511</v>
      </c>
      <c r="C927" s="34" t="s">
        <v>404</v>
      </c>
      <c r="D927" s="52">
        <v>18470</v>
      </c>
      <c r="E927" s="17">
        <v>10470</v>
      </c>
      <c r="F927" s="226">
        <f t="shared" ref="F927" si="742">SUM(F928:F936)</f>
        <v>12520</v>
      </c>
      <c r="G927" s="17">
        <f t="shared" ref="G927:H927" si="743">SUM(G928:G936)</f>
        <v>0</v>
      </c>
      <c r="H927" s="17">
        <f t="shared" si="743"/>
        <v>12520</v>
      </c>
      <c r="I927" s="17">
        <f t="shared" ref="I927:L927" si="744">SUM(I928:I936)</f>
        <v>0</v>
      </c>
      <c r="J927" s="17">
        <f t="shared" si="744"/>
        <v>12520</v>
      </c>
      <c r="K927" s="17">
        <f t="shared" si="744"/>
        <v>7744</v>
      </c>
      <c r="L927" s="17">
        <f t="shared" si="744"/>
        <v>13000</v>
      </c>
      <c r="M927" s="335">
        <f t="shared" si="701"/>
        <v>3.8338658146964855E-2</v>
      </c>
      <c r="N927" s="329">
        <f t="shared" si="728"/>
        <v>480</v>
      </c>
    </row>
    <row r="928" spans="1:14" s="142" customFormat="1" ht="14.1" customHeight="1">
      <c r="A928" s="157"/>
      <c r="B928" s="158"/>
      <c r="C928" s="146" t="s">
        <v>233</v>
      </c>
      <c r="D928" s="151">
        <v>0</v>
      </c>
      <c r="E928" s="147">
        <v>0</v>
      </c>
      <c r="F928" s="229">
        <v>0</v>
      </c>
      <c r="G928" s="147"/>
      <c r="H928" s="147">
        <f>+F928+G928</f>
        <v>0</v>
      </c>
      <c r="I928" s="147"/>
      <c r="J928" s="147">
        <f>+H928+I928</f>
        <v>0</v>
      </c>
      <c r="K928" s="147"/>
      <c r="L928" s="229"/>
      <c r="M928" s="335" t="e">
        <f t="shared" si="701"/>
        <v>#DIV/0!</v>
      </c>
      <c r="N928" s="329">
        <f t="shared" si="728"/>
        <v>0</v>
      </c>
    </row>
    <row r="929" spans="1:14" s="142" customFormat="1" ht="13.5" customHeight="1">
      <c r="A929" s="157"/>
      <c r="B929" s="158"/>
      <c r="C929" s="146" t="s">
        <v>235</v>
      </c>
      <c r="D929" s="151">
        <v>2000</v>
      </c>
      <c r="E929" s="147">
        <v>4000</v>
      </c>
      <c r="F929" s="230">
        <v>6000</v>
      </c>
      <c r="G929" s="147"/>
      <c r="H929" s="147">
        <f t="shared" ref="H929:H936" si="745">+F929+G929</f>
        <v>6000</v>
      </c>
      <c r="I929" s="147"/>
      <c r="J929" s="147">
        <f t="shared" ref="J929:J936" si="746">+H929+I929</f>
        <v>6000</v>
      </c>
      <c r="K929" s="147">
        <v>3254</v>
      </c>
      <c r="L929" s="229">
        <v>6500</v>
      </c>
      <c r="M929" s="335">
        <f t="shared" si="701"/>
        <v>8.3333333333333329E-2</v>
      </c>
      <c r="N929" s="329">
        <f t="shared" si="728"/>
        <v>500</v>
      </c>
    </row>
    <row r="930" spans="1:14" s="142" customFormat="1" ht="13.5" customHeight="1">
      <c r="A930" s="157"/>
      <c r="B930" s="158"/>
      <c r="C930" s="146" t="s">
        <v>237</v>
      </c>
      <c r="D930" s="151">
        <v>400</v>
      </c>
      <c r="E930" s="147">
        <v>450</v>
      </c>
      <c r="F930" s="230">
        <v>300</v>
      </c>
      <c r="G930" s="147"/>
      <c r="H930" s="147">
        <f t="shared" si="745"/>
        <v>300</v>
      </c>
      <c r="I930" s="147"/>
      <c r="J930" s="147">
        <f t="shared" si="746"/>
        <v>300</v>
      </c>
      <c r="K930" s="147">
        <v>77</v>
      </c>
      <c r="L930" s="229">
        <v>150</v>
      </c>
      <c r="M930" s="335">
        <f t="shared" si="701"/>
        <v>-0.5</v>
      </c>
      <c r="N930" s="329">
        <f t="shared" si="728"/>
        <v>-150</v>
      </c>
    </row>
    <row r="931" spans="1:14" s="142" customFormat="1" ht="13.5" customHeight="1">
      <c r="A931" s="157"/>
      <c r="B931" s="158"/>
      <c r="C931" s="146" t="s">
        <v>239</v>
      </c>
      <c r="D931" s="151">
        <v>600</v>
      </c>
      <c r="E931" s="147">
        <v>700</v>
      </c>
      <c r="F931" s="230">
        <v>500</v>
      </c>
      <c r="G931" s="147"/>
      <c r="H931" s="147">
        <f t="shared" si="745"/>
        <v>500</v>
      </c>
      <c r="I931" s="147"/>
      <c r="J931" s="147">
        <f t="shared" si="746"/>
        <v>500</v>
      </c>
      <c r="K931" s="147">
        <v>509</v>
      </c>
      <c r="L931" s="229">
        <v>500</v>
      </c>
      <c r="M931" s="335">
        <f t="shared" si="701"/>
        <v>0</v>
      </c>
      <c r="N931" s="329">
        <f t="shared" si="728"/>
        <v>0</v>
      </c>
    </row>
    <row r="932" spans="1:14" s="142" customFormat="1" ht="13.5" customHeight="1">
      <c r="A932" s="157"/>
      <c r="B932" s="158"/>
      <c r="C932" s="146" t="s">
        <v>241</v>
      </c>
      <c r="D932" s="151">
        <v>250</v>
      </c>
      <c r="E932" s="147">
        <v>300</v>
      </c>
      <c r="F932" s="230">
        <v>500</v>
      </c>
      <c r="G932" s="147"/>
      <c r="H932" s="147">
        <f t="shared" si="745"/>
        <v>500</v>
      </c>
      <c r="I932" s="147"/>
      <c r="J932" s="147">
        <f t="shared" si="746"/>
        <v>500</v>
      </c>
      <c r="K932" s="147">
        <v>73</v>
      </c>
      <c r="L932" s="229">
        <v>600</v>
      </c>
      <c r="M932" s="335">
        <f t="shared" si="701"/>
        <v>0.2</v>
      </c>
      <c r="N932" s="329">
        <f t="shared" si="728"/>
        <v>100</v>
      </c>
    </row>
    <row r="933" spans="1:14" s="142" customFormat="1" ht="13.5" customHeight="1">
      <c r="A933" s="157"/>
      <c r="B933" s="158"/>
      <c r="C933" s="146" t="s">
        <v>243</v>
      </c>
      <c r="D933" s="151">
        <v>700</v>
      </c>
      <c r="E933" s="147">
        <v>700</v>
      </c>
      <c r="F933" s="230">
        <v>800</v>
      </c>
      <c r="G933" s="147"/>
      <c r="H933" s="147">
        <f t="shared" si="745"/>
        <v>800</v>
      </c>
      <c r="I933" s="147"/>
      <c r="J933" s="147">
        <f t="shared" si="746"/>
        <v>800</v>
      </c>
      <c r="K933" s="147">
        <v>591</v>
      </c>
      <c r="L933" s="229">
        <v>830</v>
      </c>
      <c r="M933" s="335">
        <f t="shared" si="701"/>
        <v>3.7499999999999999E-2</v>
      </c>
      <c r="N933" s="329">
        <f t="shared" si="728"/>
        <v>30</v>
      </c>
    </row>
    <row r="934" spans="1:14" s="142" customFormat="1" ht="13.5" customHeight="1">
      <c r="A934" s="157"/>
      <c r="B934" s="158"/>
      <c r="C934" s="146" t="s">
        <v>487</v>
      </c>
      <c r="D934" s="151">
        <v>10000</v>
      </c>
      <c r="E934" s="147">
        <v>0</v>
      </c>
      <c r="F934" s="230">
        <v>100</v>
      </c>
      <c r="G934" s="147"/>
      <c r="H934" s="147">
        <f t="shared" si="745"/>
        <v>100</v>
      </c>
      <c r="I934" s="147"/>
      <c r="J934" s="147">
        <f t="shared" si="746"/>
        <v>100</v>
      </c>
      <c r="K934" s="147"/>
      <c r="L934" s="229">
        <v>100</v>
      </c>
      <c r="M934" s="335">
        <f t="shared" si="701"/>
        <v>0</v>
      </c>
      <c r="N934" s="329">
        <f t="shared" si="728"/>
        <v>0</v>
      </c>
    </row>
    <row r="935" spans="1:14" s="142" customFormat="1" ht="13.5" customHeight="1">
      <c r="A935" s="157"/>
      <c r="B935" s="158"/>
      <c r="C935" s="146" t="s">
        <v>249</v>
      </c>
      <c r="D935" s="151">
        <v>4320</v>
      </c>
      <c r="E935" s="147">
        <v>4320</v>
      </c>
      <c r="F935" s="230">
        <v>4320</v>
      </c>
      <c r="G935" s="147"/>
      <c r="H935" s="147">
        <f t="shared" si="745"/>
        <v>4320</v>
      </c>
      <c r="I935" s="147"/>
      <c r="J935" s="147">
        <f t="shared" si="746"/>
        <v>4320</v>
      </c>
      <c r="K935" s="147">
        <v>3240</v>
      </c>
      <c r="L935" s="229">
        <v>4320</v>
      </c>
      <c r="M935" s="335">
        <f t="shared" si="701"/>
        <v>0</v>
      </c>
      <c r="N935" s="329">
        <f t="shared" si="728"/>
        <v>0</v>
      </c>
    </row>
    <row r="936" spans="1:14" s="142" customFormat="1" ht="13.5" customHeight="1">
      <c r="A936" s="157"/>
      <c r="B936" s="158"/>
      <c r="C936" s="146" t="s">
        <v>523</v>
      </c>
      <c r="D936" s="151">
        <v>200</v>
      </c>
      <c r="E936" s="147">
        <v>0</v>
      </c>
      <c r="F936" s="230">
        <v>0</v>
      </c>
      <c r="G936" s="147"/>
      <c r="H936" s="147">
        <f t="shared" si="745"/>
        <v>0</v>
      </c>
      <c r="I936" s="147"/>
      <c r="J936" s="147">
        <f t="shared" si="746"/>
        <v>0</v>
      </c>
      <c r="K936" s="147"/>
      <c r="L936" s="229">
        <v>0</v>
      </c>
      <c r="M936" s="335" t="e">
        <f t="shared" si="701"/>
        <v>#DIV/0!</v>
      </c>
      <c r="N936" s="329">
        <f t="shared" si="728"/>
        <v>0</v>
      </c>
    </row>
    <row r="937" spans="1:14" s="142" customFormat="1" ht="13.5" customHeight="1">
      <c r="A937" s="157"/>
      <c r="B937" s="33">
        <v>5512</v>
      </c>
      <c r="C937" s="34" t="s">
        <v>344</v>
      </c>
      <c r="D937" s="151"/>
      <c r="E937" s="147">
        <v>0</v>
      </c>
      <c r="F937" s="224">
        <v>200</v>
      </c>
      <c r="G937" s="17"/>
      <c r="H937" s="17">
        <f t="shared" ref="H937:H943" si="747">+G937+F937</f>
        <v>200</v>
      </c>
      <c r="I937" s="17"/>
      <c r="J937" s="17">
        <f t="shared" ref="J937:J943" si="748">+I937+H937</f>
        <v>200</v>
      </c>
      <c r="K937" s="17">
        <v>38</v>
      </c>
      <c r="L937" s="226">
        <f>200+4800</f>
        <v>5000</v>
      </c>
      <c r="M937" s="335">
        <f t="shared" si="701"/>
        <v>24</v>
      </c>
      <c r="N937" s="329">
        <f t="shared" si="728"/>
        <v>4800</v>
      </c>
    </row>
    <row r="938" spans="1:14" ht="13.5" customHeight="1">
      <c r="A938" s="32"/>
      <c r="B938" s="33">
        <v>5513</v>
      </c>
      <c r="C938" s="34" t="s">
        <v>435</v>
      </c>
      <c r="D938" s="52">
        <v>500</v>
      </c>
      <c r="E938" s="17">
        <v>100</v>
      </c>
      <c r="F938" s="224">
        <v>200</v>
      </c>
      <c r="G938" s="17"/>
      <c r="H938" s="17">
        <f t="shared" si="747"/>
        <v>200</v>
      </c>
      <c r="I938" s="17"/>
      <c r="J938" s="17">
        <f t="shared" si="748"/>
        <v>200</v>
      </c>
      <c r="K938" s="17">
        <v>124</v>
      </c>
      <c r="L938" s="226">
        <v>200</v>
      </c>
      <c r="M938" s="335">
        <f t="shared" si="701"/>
        <v>0</v>
      </c>
      <c r="N938" s="329">
        <f t="shared" si="728"/>
        <v>0</v>
      </c>
    </row>
    <row r="939" spans="1:14" ht="13.5" customHeight="1">
      <c r="A939" s="32"/>
      <c r="B939" s="33">
        <v>5514</v>
      </c>
      <c r="C939" s="34" t="s">
        <v>508</v>
      </c>
      <c r="D939" s="52">
        <v>900</v>
      </c>
      <c r="E939" s="17">
        <v>700</v>
      </c>
      <c r="F939" s="224">
        <v>1000</v>
      </c>
      <c r="G939" s="17">
        <v>-200</v>
      </c>
      <c r="H939" s="17">
        <f t="shared" si="747"/>
        <v>800</v>
      </c>
      <c r="I939" s="17">
        <v>-300</v>
      </c>
      <c r="J939" s="17">
        <f t="shared" si="748"/>
        <v>500</v>
      </c>
      <c r="K939" s="17">
        <v>115</v>
      </c>
      <c r="L939" s="226">
        <v>700</v>
      </c>
      <c r="M939" s="335">
        <f t="shared" si="701"/>
        <v>0.4</v>
      </c>
      <c r="N939" s="329">
        <f t="shared" si="728"/>
        <v>200</v>
      </c>
    </row>
    <row r="940" spans="1:14" ht="13.5" customHeight="1">
      <c r="A940" s="32"/>
      <c r="B940" s="33">
        <v>5515</v>
      </c>
      <c r="C940" s="34" t="s">
        <v>509</v>
      </c>
      <c r="D940" s="52">
        <v>1360</v>
      </c>
      <c r="E940" s="17">
        <v>1300</v>
      </c>
      <c r="F940" s="224">
        <v>9800</v>
      </c>
      <c r="G940" s="17"/>
      <c r="H940" s="17">
        <f t="shared" si="747"/>
        <v>9800</v>
      </c>
      <c r="I940" s="17">
        <v>-700</v>
      </c>
      <c r="J940" s="17">
        <f t="shared" si="748"/>
        <v>9100</v>
      </c>
      <c r="K940" s="17">
        <v>754</v>
      </c>
      <c r="L940" s="226">
        <v>5000</v>
      </c>
      <c r="M940" s="335">
        <f t="shared" si="701"/>
        <v>-0.45054945054945056</v>
      </c>
      <c r="N940" s="329">
        <f t="shared" si="728"/>
        <v>-4100</v>
      </c>
    </row>
    <row r="941" spans="1:14" ht="13.5" customHeight="1">
      <c r="A941" s="32"/>
      <c r="B941" s="33">
        <v>5522</v>
      </c>
      <c r="C941" s="34" t="s">
        <v>515</v>
      </c>
      <c r="D941" s="52">
        <v>200</v>
      </c>
      <c r="E941" s="17">
        <v>0</v>
      </c>
      <c r="F941" s="224">
        <v>400</v>
      </c>
      <c r="G941" s="17"/>
      <c r="H941" s="17">
        <f t="shared" si="747"/>
        <v>400</v>
      </c>
      <c r="I941" s="17"/>
      <c r="J941" s="17">
        <f t="shared" si="748"/>
        <v>400</v>
      </c>
      <c r="K941" s="17"/>
      <c r="L941" s="226">
        <v>250</v>
      </c>
      <c r="M941" s="335">
        <f t="shared" si="701"/>
        <v>-0.375</v>
      </c>
      <c r="N941" s="329">
        <f t="shared" si="728"/>
        <v>-150</v>
      </c>
    </row>
    <row r="942" spans="1:14" ht="13.5" customHeight="1">
      <c r="A942" s="32"/>
      <c r="B942" s="33">
        <v>5525</v>
      </c>
      <c r="C942" s="34" t="s">
        <v>510</v>
      </c>
      <c r="D942" s="52">
        <v>11000</v>
      </c>
      <c r="E942" s="17">
        <v>15000</v>
      </c>
      <c r="F942" s="224">
        <v>15000</v>
      </c>
      <c r="G942" s="17"/>
      <c r="H942" s="17">
        <f t="shared" si="747"/>
        <v>15000</v>
      </c>
      <c r="I942" s="17"/>
      <c r="J942" s="17">
        <f t="shared" si="748"/>
        <v>15000</v>
      </c>
      <c r="K942" s="17">
        <v>10450</v>
      </c>
      <c r="L942" s="226">
        <v>16000</v>
      </c>
      <c r="M942" s="335">
        <f t="shared" ref="M942:M1006" si="749">(L942-J942)/J942</f>
        <v>6.6666666666666666E-2</v>
      </c>
      <c r="N942" s="329">
        <f t="shared" si="728"/>
        <v>1000</v>
      </c>
    </row>
    <row r="943" spans="1:14" ht="13.5" customHeight="1">
      <c r="A943" s="32"/>
      <c r="B943" s="33">
        <v>5540</v>
      </c>
      <c r="C943" s="34" t="s">
        <v>348</v>
      </c>
      <c r="D943" s="52">
        <v>2000</v>
      </c>
      <c r="E943" s="17">
        <v>1400</v>
      </c>
      <c r="F943" s="224">
        <v>2000</v>
      </c>
      <c r="G943" s="17">
        <v>200</v>
      </c>
      <c r="H943" s="17">
        <f t="shared" si="747"/>
        <v>2200</v>
      </c>
      <c r="I943" s="17"/>
      <c r="J943" s="17">
        <f t="shared" si="748"/>
        <v>2200</v>
      </c>
      <c r="K943" s="17">
        <v>294</v>
      </c>
      <c r="L943" s="226">
        <v>2500</v>
      </c>
      <c r="M943" s="335">
        <f t="shared" si="749"/>
        <v>0.13636363636363635</v>
      </c>
      <c r="N943" s="329">
        <f t="shared" si="728"/>
        <v>300</v>
      </c>
    </row>
    <row r="944" spans="1:14" ht="13.5" customHeight="1">
      <c r="A944" s="45" t="s">
        <v>528</v>
      </c>
      <c r="B944" s="46"/>
      <c r="C944" s="47" t="s">
        <v>529</v>
      </c>
      <c r="D944" s="53">
        <v>139395</v>
      </c>
      <c r="E944" s="50">
        <v>142307</v>
      </c>
      <c r="F944" s="50">
        <f t="shared" ref="F944" si="750">+F945+F946</f>
        <v>191402</v>
      </c>
      <c r="G944" s="50">
        <f t="shared" ref="G944:H944" si="751">+G945+G946</f>
        <v>4988</v>
      </c>
      <c r="H944" s="50">
        <f t="shared" si="751"/>
        <v>196390</v>
      </c>
      <c r="I944" s="50">
        <f t="shared" ref="I944:J944" si="752">+I945+I946</f>
        <v>-3000</v>
      </c>
      <c r="J944" s="50">
        <f t="shared" si="752"/>
        <v>193390</v>
      </c>
      <c r="K944" s="50">
        <f t="shared" ref="K944:L944" si="753">+K945+K946</f>
        <v>123157.19</v>
      </c>
      <c r="L944" s="50">
        <f t="shared" si="753"/>
        <v>197000</v>
      </c>
      <c r="M944" s="335">
        <f t="shared" si="749"/>
        <v>1.86669424479032E-2</v>
      </c>
      <c r="N944" s="329">
        <f t="shared" si="728"/>
        <v>3610</v>
      </c>
    </row>
    <row r="945" spans="1:14" ht="13.5" customHeight="1">
      <c r="A945" s="32"/>
      <c r="B945" s="38" t="s">
        <v>210</v>
      </c>
      <c r="C945" s="39" t="s">
        <v>211</v>
      </c>
      <c r="D945" s="51">
        <v>55795</v>
      </c>
      <c r="E945" s="143">
        <v>49407</v>
      </c>
      <c r="F945" s="224">
        <v>67724</v>
      </c>
      <c r="G945" s="143">
        <v>-3218</v>
      </c>
      <c r="H945" s="143">
        <f t="shared" ref="H945:H959" si="754">+G945+F945</f>
        <v>64506</v>
      </c>
      <c r="I945" s="143"/>
      <c r="J945" s="143">
        <f t="shared" ref="J945" si="755">+I945+H945</f>
        <v>64506</v>
      </c>
      <c r="K945" s="143">
        <v>45586</v>
      </c>
      <c r="L945" s="152">
        <v>68300</v>
      </c>
      <c r="M945" s="335">
        <f t="shared" si="749"/>
        <v>5.8816234148761352E-2</v>
      </c>
      <c r="N945" s="329">
        <f t="shared" si="728"/>
        <v>3794</v>
      </c>
    </row>
    <row r="946" spans="1:14" ht="13.5" customHeight="1">
      <c r="A946" s="32"/>
      <c r="B946" s="38" t="s">
        <v>212</v>
      </c>
      <c r="C946" s="39" t="s">
        <v>213</v>
      </c>
      <c r="D946" s="51">
        <v>83600</v>
      </c>
      <c r="E946" s="137">
        <v>92900</v>
      </c>
      <c r="F946" s="137">
        <f>+F947+F948+F949+F961+F962+F963+F965+F966+F968+F960+F967+F964</f>
        <v>123678</v>
      </c>
      <c r="G946" s="137">
        <f t="shared" ref="G946:K946" si="756">+G947+G948+G949+G961+G962+G963+G965+G966+G968+G960+G967+G964</f>
        <v>8206</v>
      </c>
      <c r="H946" s="137">
        <f t="shared" si="756"/>
        <v>131884</v>
      </c>
      <c r="I946" s="137">
        <f t="shared" si="756"/>
        <v>-3000</v>
      </c>
      <c r="J946" s="137">
        <f t="shared" si="756"/>
        <v>128884</v>
      </c>
      <c r="K946" s="137">
        <f t="shared" si="756"/>
        <v>77571.19</v>
      </c>
      <c r="L946" s="137">
        <f>+L947+L948+L949+L961+L962+L963+L965+L966+L968+L960+L967+L964</f>
        <v>128700</v>
      </c>
      <c r="M946" s="335">
        <f t="shared" si="749"/>
        <v>-1.4276403587722294E-3</v>
      </c>
      <c r="N946" s="329">
        <f t="shared" si="728"/>
        <v>-184</v>
      </c>
    </row>
    <row r="947" spans="1:14" ht="13.5" customHeight="1">
      <c r="A947" s="32"/>
      <c r="B947" s="33">
        <v>5500</v>
      </c>
      <c r="C947" s="34" t="s">
        <v>429</v>
      </c>
      <c r="D947" s="52">
        <v>3000</v>
      </c>
      <c r="E947" s="17">
        <v>2500</v>
      </c>
      <c r="F947" s="226">
        <v>2800</v>
      </c>
      <c r="G947" s="17"/>
      <c r="H947" s="17">
        <f t="shared" si="754"/>
        <v>2800</v>
      </c>
      <c r="I947" s="17">
        <v>-500</v>
      </c>
      <c r="J947" s="17">
        <f t="shared" ref="J947:J948" si="757">+I947+H947</f>
        <v>2300</v>
      </c>
      <c r="K947" s="17">
        <v>1924</v>
      </c>
      <c r="L947" s="226">
        <v>2000</v>
      </c>
      <c r="M947" s="335">
        <f t="shared" si="749"/>
        <v>-0.13043478260869565</v>
      </c>
      <c r="N947" s="329">
        <f t="shared" si="728"/>
        <v>-300</v>
      </c>
    </row>
    <row r="948" spans="1:14" ht="13.5" customHeight="1">
      <c r="A948" s="32"/>
      <c r="B948" s="33">
        <v>5504</v>
      </c>
      <c r="C948" s="34" t="s">
        <v>230</v>
      </c>
      <c r="D948" s="52">
        <v>1000</v>
      </c>
      <c r="E948" s="17">
        <v>500</v>
      </c>
      <c r="F948" s="226">
        <v>1500</v>
      </c>
      <c r="G948" s="17">
        <v>-600</v>
      </c>
      <c r="H948" s="17">
        <f t="shared" si="754"/>
        <v>900</v>
      </c>
      <c r="I948" s="17"/>
      <c r="J948" s="17">
        <f t="shared" si="757"/>
        <v>900</v>
      </c>
      <c r="K948" s="17">
        <v>590</v>
      </c>
      <c r="L948" s="226">
        <v>800</v>
      </c>
      <c r="M948" s="335">
        <f t="shared" si="749"/>
        <v>-0.1111111111111111</v>
      </c>
      <c r="N948" s="329">
        <f t="shared" si="728"/>
        <v>-100</v>
      </c>
    </row>
    <row r="949" spans="1:14" ht="13.5" customHeight="1">
      <c r="A949" s="32"/>
      <c r="B949" s="33">
        <v>5511</v>
      </c>
      <c r="C949" s="34" t="s">
        <v>404</v>
      </c>
      <c r="D949" s="52">
        <v>55000</v>
      </c>
      <c r="E949" s="17">
        <v>50200</v>
      </c>
      <c r="F949" s="226">
        <f>SUM(F950:F958)</f>
        <v>70878</v>
      </c>
      <c r="G949" s="17">
        <f>SUM(G950:G959)</f>
        <v>9806</v>
      </c>
      <c r="H949" s="17">
        <f>SUM(H950:H959)</f>
        <v>80684</v>
      </c>
      <c r="I949" s="17">
        <f>SUM(I950:I959)</f>
        <v>-2000</v>
      </c>
      <c r="J949" s="17">
        <f>SUM(J950:J959)</f>
        <v>78684</v>
      </c>
      <c r="K949" s="17">
        <f t="shared" ref="K949:L949" si="758">SUM(K950:K959)</f>
        <v>51413.19</v>
      </c>
      <c r="L949" s="17">
        <f t="shared" si="758"/>
        <v>81900</v>
      </c>
      <c r="M949" s="335">
        <f t="shared" si="749"/>
        <v>4.0872350160134206E-2</v>
      </c>
      <c r="N949" s="329">
        <f t="shared" si="728"/>
        <v>3216</v>
      </c>
    </row>
    <row r="950" spans="1:14" s="150" customFormat="1" ht="13.5" customHeight="1">
      <c r="A950" s="157"/>
      <c r="B950" s="158"/>
      <c r="C950" s="146" t="s">
        <v>233</v>
      </c>
      <c r="D950" s="151">
        <v>16720</v>
      </c>
      <c r="E950" s="147">
        <v>22000</v>
      </c>
      <c r="F950" s="229">
        <v>26000</v>
      </c>
      <c r="G950" s="147">
        <v>5000</v>
      </c>
      <c r="H950" s="147">
        <f t="shared" si="754"/>
        <v>31000</v>
      </c>
      <c r="I950" s="147"/>
      <c r="J950" s="147">
        <f t="shared" ref="J950:J968" si="759">+I950+H950</f>
        <v>31000</v>
      </c>
      <c r="K950" s="147">
        <v>20086</v>
      </c>
      <c r="L950" s="229">
        <v>30000</v>
      </c>
      <c r="M950" s="335">
        <f t="shared" si="749"/>
        <v>-3.2258064516129031E-2</v>
      </c>
      <c r="N950" s="329">
        <f t="shared" si="728"/>
        <v>-1000</v>
      </c>
    </row>
    <row r="951" spans="1:14" s="150" customFormat="1" ht="13.5" customHeight="1">
      <c r="A951" s="157"/>
      <c r="B951" s="158"/>
      <c r="C951" s="146" t="s">
        <v>235</v>
      </c>
      <c r="D951" s="151">
        <v>10000</v>
      </c>
      <c r="E951" s="147">
        <v>12600</v>
      </c>
      <c r="F951" s="229">
        <v>18000</v>
      </c>
      <c r="G951" s="147"/>
      <c r="H951" s="147">
        <f t="shared" si="754"/>
        <v>18000</v>
      </c>
      <c r="I951" s="147"/>
      <c r="J951" s="147">
        <f t="shared" si="759"/>
        <v>18000</v>
      </c>
      <c r="K951" s="147">
        <v>12093</v>
      </c>
      <c r="L951" s="229">
        <v>20000</v>
      </c>
      <c r="M951" s="335">
        <f t="shared" si="749"/>
        <v>0.1111111111111111</v>
      </c>
      <c r="N951" s="329">
        <f t="shared" si="728"/>
        <v>2000</v>
      </c>
    </row>
    <row r="952" spans="1:14" s="150" customFormat="1" ht="13.5" customHeight="1">
      <c r="A952" s="157"/>
      <c r="B952" s="158"/>
      <c r="C952" s="146" t="s">
        <v>237</v>
      </c>
      <c r="D952" s="151">
        <v>2500</v>
      </c>
      <c r="E952" s="147">
        <v>1200</v>
      </c>
      <c r="F952" s="229">
        <v>2000</v>
      </c>
      <c r="G952" s="147"/>
      <c r="H952" s="147">
        <f t="shared" si="754"/>
        <v>2000</v>
      </c>
      <c r="I952" s="147"/>
      <c r="J952" s="147">
        <f t="shared" si="759"/>
        <v>2000</v>
      </c>
      <c r="K952" s="147">
        <v>1955</v>
      </c>
      <c r="L952" s="229">
        <v>2500</v>
      </c>
      <c r="M952" s="335">
        <f t="shared" si="749"/>
        <v>0.25</v>
      </c>
      <c r="N952" s="329">
        <f t="shared" si="728"/>
        <v>500</v>
      </c>
    </row>
    <row r="953" spans="1:14" s="150" customFormat="1" ht="13.5" customHeight="1">
      <c r="A953" s="157"/>
      <c r="B953" s="158"/>
      <c r="C953" s="146" t="s">
        <v>239</v>
      </c>
      <c r="D953" s="151">
        <v>6000</v>
      </c>
      <c r="E953" s="147">
        <v>4000</v>
      </c>
      <c r="F953" s="229">
        <v>4400</v>
      </c>
      <c r="G953" s="147"/>
      <c r="H953" s="147">
        <f t="shared" si="754"/>
        <v>4400</v>
      </c>
      <c r="I953" s="147"/>
      <c r="J953" s="147">
        <f t="shared" si="759"/>
        <v>4400</v>
      </c>
      <c r="K953" s="147">
        <v>1725</v>
      </c>
      <c r="L953" s="229">
        <v>3070</v>
      </c>
      <c r="M953" s="335">
        <f t="shared" si="749"/>
        <v>-0.30227272727272725</v>
      </c>
      <c r="N953" s="329">
        <f t="shared" si="728"/>
        <v>-1330</v>
      </c>
    </row>
    <row r="954" spans="1:14" s="150" customFormat="1" ht="13.5" customHeight="1">
      <c r="A954" s="157"/>
      <c r="B954" s="158"/>
      <c r="C954" s="146" t="s">
        <v>241</v>
      </c>
      <c r="D954" s="151">
        <v>9000</v>
      </c>
      <c r="E954" s="147">
        <v>6000</v>
      </c>
      <c r="F954" s="229">
        <v>5000</v>
      </c>
      <c r="G954" s="147"/>
      <c r="H954" s="147">
        <f t="shared" si="754"/>
        <v>5000</v>
      </c>
      <c r="I954" s="147">
        <v>-20</v>
      </c>
      <c r="J954" s="147">
        <f t="shared" si="759"/>
        <v>4980</v>
      </c>
      <c r="K954" s="147">
        <v>4238</v>
      </c>
      <c r="L954" s="229">
        <v>5000</v>
      </c>
      <c r="M954" s="335">
        <f t="shared" si="749"/>
        <v>4.0160642570281121E-3</v>
      </c>
      <c r="N954" s="329">
        <f t="shared" si="728"/>
        <v>20</v>
      </c>
    </row>
    <row r="955" spans="1:14" s="150" customFormat="1" ht="13.5" customHeight="1">
      <c r="A955" s="157"/>
      <c r="B955" s="158"/>
      <c r="C955" s="146" t="s">
        <v>243</v>
      </c>
      <c r="D955" s="151">
        <v>600</v>
      </c>
      <c r="E955" s="147">
        <v>2000</v>
      </c>
      <c r="F955" s="229">
        <v>4212</v>
      </c>
      <c r="G955" s="147"/>
      <c r="H955" s="147">
        <f t="shared" si="754"/>
        <v>4212</v>
      </c>
      <c r="I955" s="147">
        <v>-2000</v>
      </c>
      <c r="J955" s="147">
        <f t="shared" si="759"/>
        <v>2212</v>
      </c>
      <c r="K955" s="147">
        <v>879</v>
      </c>
      <c r="L955" s="229">
        <v>2100</v>
      </c>
      <c r="M955" s="335">
        <f t="shared" si="749"/>
        <v>-5.0632911392405063E-2</v>
      </c>
      <c r="N955" s="329">
        <f t="shared" si="728"/>
        <v>-112</v>
      </c>
    </row>
    <row r="956" spans="1:14" s="150" customFormat="1" ht="13.5" customHeight="1">
      <c r="A956" s="157"/>
      <c r="B956" s="158"/>
      <c r="C956" s="146" t="s">
        <v>487</v>
      </c>
      <c r="D956" s="151">
        <v>10000</v>
      </c>
      <c r="E956" s="147">
        <v>1758</v>
      </c>
      <c r="F956" s="229">
        <v>10000</v>
      </c>
      <c r="G956" s="147"/>
      <c r="H956" s="147">
        <f t="shared" si="754"/>
        <v>10000</v>
      </c>
      <c r="I956" s="147"/>
      <c r="J956" s="147">
        <f t="shared" si="759"/>
        <v>10000</v>
      </c>
      <c r="K956" s="147">
        <v>6235</v>
      </c>
      <c r="L956" s="229">
        <f>8000+4500</f>
        <v>12500</v>
      </c>
      <c r="M956" s="335">
        <f t="shared" si="749"/>
        <v>0.25</v>
      </c>
      <c r="N956" s="329">
        <f t="shared" si="728"/>
        <v>2500</v>
      </c>
    </row>
    <row r="957" spans="1:14" s="150" customFormat="1" ht="13.5" customHeight="1">
      <c r="A957" s="157"/>
      <c r="B957" s="158"/>
      <c r="C957" s="146" t="s">
        <v>247</v>
      </c>
      <c r="D957" s="151">
        <v>180</v>
      </c>
      <c r="E957" s="147">
        <v>642</v>
      </c>
      <c r="F957" s="229">
        <v>642</v>
      </c>
      <c r="G957" s="147"/>
      <c r="H957" s="147">
        <f t="shared" si="754"/>
        <v>642</v>
      </c>
      <c r="I957" s="147">
        <v>20</v>
      </c>
      <c r="J957" s="147">
        <f t="shared" si="759"/>
        <v>662</v>
      </c>
      <c r="K957" s="147">
        <v>662</v>
      </c>
      <c r="L957" s="229">
        <v>700</v>
      </c>
      <c r="M957" s="335">
        <f t="shared" si="749"/>
        <v>5.7401812688821753E-2</v>
      </c>
      <c r="N957" s="329">
        <f t="shared" si="728"/>
        <v>38</v>
      </c>
    </row>
    <row r="958" spans="1:14" s="150" customFormat="1" ht="13.5" customHeight="1">
      <c r="A958" s="157"/>
      <c r="B958" s="158"/>
      <c r="C958" s="146" t="s">
        <v>497</v>
      </c>
      <c r="D958" s="151">
        <v>0</v>
      </c>
      <c r="E958" s="147">
        <v>0</v>
      </c>
      <c r="F958" s="229">
        <v>624</v>
      </c>
      <c r="G958" s="147"/>
      <c r="H958" s="147">
        <f t="shared" si="754"/>
        <v>624</v>
      </c>
      <c r="I958" s="147"/>
      <c r="J958" s="147">
        <f t="shared" si="759"/>
        <v>624</v>
      </c>
      <c r="K958" s="147">
        <v>45.19</v>
      </c>
      <c r="L958" s="229">
        <v>700</v>
      </c>
      <c r="M958" s="335">
        <f t="shared" si="749"/>
        <v>0.12179487179487179</v>
      </c>
      <c r="N958" s="329">
        <f t="shared" si="728"/>
        <v>76</v>
      </c>
    </row>
    <row r="959" spans="1:14" s="150" customFormat="1" ht="13.5" customHeight="1">
      <c r="A959" s="157"/>
      <c r="B959" s="158"/>
      <c r="C959" s="146" t="s">
        <v>524</v>
      </c>
      <c r="D959" s="151"/>
      <c r="E959" s="147"/>
      <c r="F959" s="229"/>
      <c r="G959" s="242">
        <v>4806</v>
      </c>
      <c r="H959" s="147">
        <f t="shared" si="754"/>
        <v>4806</v>
      </c>
      <c r="I959" s="147"/>
      <c r="J959" s="147">
        <f t="shared" si="759"/>
        <v>4806</v>
      </c>
      <c r="K959" s="147">
        <v>3495</v>
      </c>
      <c r="L959" s="229">
        <v>5330</v>
      </c>
      <c r="M959" s="335">
        <f t="shared" si="749"/>
        <v>0.10903037869330004</v>
      </c>
      <c r="N959" s="329">
        <f t="shared" si="728"/>
        <v>524</v>
      </c>
    </row>
    <row r="960" spans="1:14" s="150" customFormat="1" ht="13.5" customHeight="1">
      <c r="A960" s="157"/>
      <c r="B960" s="33">
        <v>5512</v>
      </c>
      <c r="C960" s="34" t="s">
        <v>344</v>
      </c>
      <c r="D960" s="151"/>
      <c r="E960" s="147">
        <v>0</v>
      </c>
      <c r="F960" s="226">
        <v>200</v>
      </c>
      <c r="G960" s="17"/>
      <c r="H960" s="17">
        <f t="shared" ref="H960:H968" si="760">+G960+F960</f>
        <v>200</v>
      </c>
      <c r="I960" s="17"/>
      <c r="J960" s="17">
        <f t="shared" si="759"/>
        <v>200</v>
      </c>
      <c r="K960" s="17"/>
      <c r="L960" s="226">
        <v>200</v>
      </c>
      <c r="M960" s="335">
        <f t="shared" si="749"/>
        <v>0</v>
      </c>
      <c r="N960" s="329">
        <f t="shared" si="728"/>
        <v>0</v>
      </c>
    </row>
    <row r="961" spans="1:14" ht="13.5" customHeight="1">
      <c r="A961" s="32"/>
      <c r="B961" s="33">
        <v>5513</v>
      </c>
      <c r="C961" s="34" t="s">
        <v>435</v>
      </c>
      <c r="D961" s="52">
        <v>1200</v>
      </c>
      <c r="E961" s="17">
        <v>500</v>
      </c>
      <c r="F961" s="226">
        <v>1200</v>
      </c>
      <c r="G961" s="17">
        <v>-400</v>
      </c>
      <c r="H961" s="17">
        <f t="shared" si="760"/>
        <v>800</v>
      </c>
      <c r="I961" s="17"/>
      <c r="J961" s="17">
        <f t="shared" si="759"/>
        <v>800</v>
      </c>
      <c r="K961" s="17">
        <v>125</v>
      </c>
      <c r="L961" s="226">
        <v>600</v>
      </c>
      <c r="M961" s="335">
        <f t="shared" si="749"/>
        <v>-0.25</v>
      </c>
      <c r="N961" s="329">
        <f t="shared" si="728"/>
        <v>-200</v>
      </c>
    </row>
    <row r="962" spans="1:14" ht="13.5" customHeight="1">
      <c r="A962" s="32"/>
      <c r="B962" s="33">
        <v>5514</v>
      </c>
      <c r="C962" s="34" t="s">
        <v>508</v>
      </c>
      <c r="D962" s="52">
        <v>2000</v>
      </c>
      <c r="E962" s="17">
        <v>1000</v>
      </c>
      <c r="F962" s="226">
        <v>2000</v>
      </c>
      <c r="G962" s="17">
        <v>-600</v>
      </c>
      <c r="H962" s="17">
        <f t="shared" si="760"/>
        <v>1400</v>
      </c>
      <c r="I962" s="17"/>
      <c r="J962" s="17">
        <f t="shared" si="759"/>
        <v>1400</v>
      </c>
      <c r="K962" s="17">
        <v>652</v>
      </c>
      <c r="L962" s="226">
        <v>1000</v>
      </c>
      <c r="M962" s="335">
        <f t="shared" si="749"/>
        <v>-0.2857142857142857</v>
      </c>
      <c r="N962" s="329">
        <f t="shared" si="728"/>
        <v>-400</v>
      </c>
    </row>
    <row r="963" spans="1:14" ht="13.5" customHeight="1">
      <c r="A963" s="32"/>
      <c r="B963" s="33">
        <v>5515</v>
      </c>
      <c r="C963" s="34" t="s">
        <v>509</v>
      </c>
      <c r="D963" s="52">
        <v>4000</v>
      </c>
      <c r="E963" s="17">
        <v>4000</v>
      </c>
      <c r="F963" s="226">
        <v>10000</v>
      </c>
      <c r="G963" s="17"/>
      <c r="H963" s="17">
        <f t="shared" si="760"/>
        <v>10000</v>
      </c>
      <c r="I963" s="17"/>
      <c r="J963" s="17">
        <f t="shared" si="759"/>
        <v>10000</v>
      </c>
      <c r="K963" s="17">
        <v>4514</v>
      </c>
      <c r="L963" s="226">
        <v>8000</v>
      </c>
      <c r="M963" s="335">
        <f t="shared" si="749"/>
        <v>-0.2</v>
      </c>
      <c r="N963" s="329">
        <f t="shared" si="728"/>
        <v>-2000</v>
      </c>
    </row>
    <row r="964" spans="1:14" ht="13.5" customHeight="1">
      <c r="A964" s="32"/>
      <c r="B964" s="33" t="s">
        <v>258</v>
      </c>
      <c r="C964" s="34" t="s">
        <v>259</v>
      </c>
      <c r="D964" s="52"/>
      <c r="E964" s="17">
        <v>0</v>
      </c>
      <c r="F964" s="226">
        <v>3000</v>
      </c>
      <c r="G964" s="17"/>
      <c r="H964" s="17">
        <f t="shared" si="760"/>
        <v>3000</v>
      </c>
      <c r="I964" s="17"/>
      <c r="J964" s="17">
        <f t="shared" si="759"/>
        <v>3000</v>
      </c>
      <c r="K964" s="17">
        <v>1200</v>
      </c>
      <c r="L964" s="226">
        <v>3000</v>
      </c>
      <c r="M964" s="335">
        <f t="shared" si="749"/>
        <v>0</v>
      </c>
      <c r="N964" s="329">
        <f t="shared" si="728"/>
        <v>0</v>
      </c>
    </row>
    <row r="965" spans="1:14" ht="13.5" customHeight="1">
      <c r="A965" s="32"/>
      <c r="B965" s="33">
        <v>5522</v>
      </c>
      <c r="C965" s="34" t="s">
        <v>530</v>
      </c>
      <c r="D965" s="52">
        <v>0</v>
      </c>
      <c r="E965" s="17">
        <v>0</v>
      </c>
      <c r="F965" s="226">
        <v>400</v>
      </c>
      <c r="G965" s="17"/>
      <c r="H965" s="17">
        <f t="shared" si="760"/>
        <v>400</v>
      </c>
      <c r="I965" s="17"/>
      <c r="J965" s="17">
        <f t="shared" si="759"/>
        <v>400</v>
      </c>
      <c r="K965" s="17"/>
      <c r="L965" s="226">
        <v>200</v>
      </c>
      <c r="M965" s="335">
        <f t="shared" si="749"/>
        <v>-0.5</v>
      </c>
      <c r="N965" s="329">
        <f t="shared" si="728"/>
        <v>-200</v>
      </c>
    </row>
    <row r="966" spans="1:14" ht="13.5" customHeight="1">
      <c r="A966" s="32"/>
      <c r="B966" s="33">
        <v>5525</v>
      </c>
      <c r="C966" s="34" t="s">
        <v>510</v>
      </c>
      <c r="D966" s="52">
        <v>15400</v>
      </c>
      <c r="E966" s="17">
        <v>32900</v>
      </c>
      <c r="F966" s="226">
        <v>30000</v>
      </c>
      <c r="G966" s="17"/>
      <c r="H966" s="17">
        <f t="shared" si="760"/>
        <v>30000</v>
      </c>
      <c r="I966" s="17"/>
      <c r="J966" s="17">
        <f t="shared" si="759"/>
        <v>30000</v>
      </c>
      <c r="K966" s="17">
        <v>16386</v>
      </c>
      <c r="L966" s="226">
        <v>30000</v>
      </c>
      <c r="M966" s="335">
        <f t="shared" si="749"/>
        <v>0</v>
      </c>
      <c r="N966" s="329">
        <f t="shared" ref="N966:N1029" si="761">L966-J966</f>
        <v>0</v>
      </c>
    </row>
    <row r="967" spans="1:14" ht="13.5" customHeight="1">
      <c r="A967" s="32"/>
      <c r="B967" s="33">
        <v>5532</v>
      </c>
      <c r="C967" s="34" t="s">
        <v>378</v>
      </c>
      <c r="D967" s="52"/>
      <c r="E967" s="17">
        <v>0</v>
      </c>
      <c r="F967" s="226">
        <v>200</v>
      </c>
      <c r="G967" s="17"/>
      <c r="H967" s="17">
        <f t="shared" si="760"/>
        <v>200</v>
      </c>
      <c r="I967" s="17"/>
      <c r="J967" s="17">
        <f t="shared" si="759"/>
        <v>200</v>
      </c>
      <c r="K967" s="17"/>
      <c r="L967" s="226">
        <v>0</v>
      </c>
      <c r="M967" s="335">
        <f t="shared" si="749"/>
        <v>-1</v>
      </c>
      <c r="N967" s="329">
        <f t="shared" si="761"/>
        <v>-200</v>
      </c>
    </row>
    <row r="968" spans="1:14" ht="12.6">
      <c r="A968" s="32"/>
      <c r="B968" s="33">
        <v>5540</v>
      </c>
      <c r="C968" s="34" t="s">
        <v>348</v>
      </c>
      <c r="D968" s="52">
        <v>2000</v>
      </c>
      <c r="E968" s="17">
        <v>1300</v>
      </c>
      <c r="F968" s="226">
        <v>1500</v>
      </c>
      <c r="G968" s="17"/>
      <c r="H968" s="17">
        <f t="shared" si="760"/>
        <v>1500</v>
      </c>
      <c r="I968" s="17">
        <v>-500</v>
      </c>
      <c r="J968" s="17">
        <f t="shared" si="759"/>
        <v>1000</v>
      </c>
      <c r="K968" s="17">
        <v>767</v>
      </c>
      <c r="L968" s="226">
        <v>1000</v>
      </c>
      <c r="M968" s="335">
        <f t="shared" si="749"/>
        <v>0</v>
      </c>
      <c r="N968" s="329">
        <f t="shared" si="761"/>
        <v>0</v>
      </c>
    </row>
    <row r="969" spans="1:14" ht="13.5" customHeight="1">
      <c r="A969" s="45" t="s">
        <v>531</v>
      </c>
      <c r="B969" s="46"/>
      <c r="C969" s="47" t="s">
        <v>532</v>
      </c>
      <c r="D969" s="53">
        <v>39620</v>
      </c>
      <c r="E969" s="50">
        <v>64664</v>
      </c>
      <c r="F969" s="50">
        <f t="shared" ref="F969" si="762">+F970+F971</f>
        <v>76388</v>
      </c>
      <c r="G969" s="50">
        <f t="shared" ref="G969:H969" si="763">+G970+G971</f>
        <v>680</v>
      </c>
      <c r="H969" s="50">
        <f t="shared" si="763"/>
        <v>77068</v>
      </c>
      <c r="I969" s="50">
        <f t="shared" ref="I969:J969" si="764">+I970+I971</f>
        <v>7000</v>
      </c>
      <c r="J969" s="50">
        <f t="shared" si="764"/>
        <v>84068</v>
      </c>
      <c r="K969" s="50">
        <f t="shared" ref="K969:L969" si="765">+K970+K971</f>
        <v>64323</v>
      </c>
      <c r="L969" s="50">
        <f t="shared" si="765"/>
        <v>83500</v>
      </c>
      <c r="M969" s="335">
        <f t="shared" si="749"/>
        <v>-6.7564352666888705E-3</v>
      </c>
      <c r="N969" s="329">
        <f t="shared" si="761"/>
        <v>-568</v>
      </c>
    </row>
    <row r="970" spans="1:14" ht="13.5" customHeight="1">
      <c r="A970" s="32"/>
      <c r="B970" s="38" t="s">
        <v>210</v>
      </c>
      <c r="C970" s="39" t="s">
        <v>211</v>
      </c>
      <c r="D970" s="51">
        <v>11990</v>
      </c>
      <c r="E970" s="143">
        <v>21098</v>
      </c>
      <c r="F970" s="226">
        <v>28322</v>
      </c>
      <c r="G970" s="143">
        <v>-402</v>
      </c>
      <c r="H970" s="143">
        <f t="shared" ref="H970:H984" si="766">+G970+F970</f>
        <v>27920</v>
      </c>
      <c r="I970" s="143">
        <v>-857</v>
      </c>
      <c r="J970" s="143">
        <f t="shared" ref="J970" si="767">+I970+H970</f>
        <v>27063</v>
      </c>
      <c r="K970" s="143">
        <v>19245</v>
      </c>
      <c r="L970" s="152">
        <v>30600</v>
      </c>
      <c r="M970" s="335">
        <f t="shared" si="749"/>
        <v>0.13069504489524442</v>
      </c>
      <c r="N970" s="329">
        <f t="shared" si="761"/>
        <v>3537</v>
      </c>
    </row>
    <row r="971" spans="1:14" ht="13.5" customHeight="1">
      <c r="A971" s="32"/>
      <c r="B971" s="38" t="s">
        <v>212</v>
      </c>
      <c r="C971" s="39" t="s">
        <v>213</v>
      </c>
      <c r="D971" s="51">
        <v>27630</v>
      </c>
      <c r="E971" s="137">
        <v>43566</v>
      </c>
      <c r="F971" s="137">
        <f>+F972+F973+F974+F986+F987+F988+F990+F992+F994+F985+F989+F991</f>
        <v>48066</v>
      </c>
      <c r="G971" s="137">
        <f t="shared" ref="G971:H971" si="768">+G972+G973+G974+G986+G987+G988+G990+G992+G994+G985+G989+G991</f>
        <v>1082</v>
      </c>
      <c r="H971" s="137">
        <f t="shared" si="768"/>
        <v>49148</v>
      </c>
      <c r="I971" s="137">
        <f t="shared" ref="I971" si="769">+I972+I973+I974+I986+I987+I988+I990+I992+I994+I985+I989+I991</f>
        <v>7857</v>
      </c>
      <c r="J971" s="137">
        <f t="shared" ref="J971:K971" si="770">+J972+J973+J974+J986+J987+J988+J990+J992+J994+J985+J989+J991+J993</f>
        <v>57005</v>
      </c>
      <c r="K971" s="137">
        <f t="shared" si="770"/>
        <v>45078</v>
      </c>
      <c r="L971" s="137">
        <f>+L972+L973+L974+L986+L987+L988+L990+L992+L994+L985+L989+L991+L993</f>
        <v>52900</v>
      </c>
      <c r="M971" s="335">
        <f t="shared" si="749"/>
        <v>-7.2011227085343396E-2</v>
      </c>
      <c r="N971" s="329">
        <f t="shared" si="761"/>
        <v>-4105</v>
      </c>
    </row>
    <row r="972" spans="1:14" ht="13.5" customHeight="1">
      <c r="A972" s="32"/>
      <c r="B972" s="33">
        <v>5500</v>
      </c>
      <c r="C972" s="34" t="s">
        <v>429</v>
      </c>
      <c r="D972" s="52">
        <v>200</v>
      </c>
      <c r="E972" s="17">
        <v>700</v>
      </c>
      <c r="F972" s="226">
        <v>1500</v>
      </c>
      <c r="G972" s="17"/>
      <c r="H972" s="17">
        <f t="shared" si="766"/>
        <v>1500</v>
      </c>
      <c r="I972" s="17">
        <v>-500</v>
      </c>
      <c r="J972" s="17">
        <f t="shared" ref="J972:J973" si="771">+I972+H972</f>
        <v>1000</v>
      </c>
      <c r="K972" s="17">
        <v>1068</v>
      </c>
      <c r="L972" s="226">
        <v>1100</v>
      </c>
      <c r="M972" s="335">
        <f t="shared" si="749"/>
        <v>0.1</v>
      </c>
      <c r="N972" s="329">
        <f t="shared" si="761"/>
        <v>100</v>
      </c>
    </row>
    <row r="973" spans="1:14" ht="13.5" customHeight="1">
      <c r="A973" s="32"/>
      <c r="B973" s="33">
        <v>5504</v>
      </c>
      <c r="C973" s="34" t="s">
        <v>230</v>
      </c>
      <c r="D973" s="52">
        <v>400</v>
      </c>
      <c r="E973" s="17">
        <v>1000</v>
      </c>
      <c r="F973" s="226">
        <v>600</v>
      </c>
      <c r="G973" s="17"/>
      <c r="H973" s="17">
        <f t="shared" si="766"/>
        <v>600</v>
      </c>
      <c r="I973" s="17"/>
      <c r="J973" s="17">
        <f t="shared" si="771"/>
        <v>600</v>
      </c>
      <c r="K973" s="17">
        <v>507</v>
      </c>
      <c r="L973" s="226">
        <v>600</v>
      </c>
      <c r="M973" s="335">
        <f t="shared" si="749"/>
        <v>0</v>
      </c>
      <c r="N973" s="329">
        <f t="shared" si="761"/>
        <v>0</v>
      </c>
    </row>
    <row r="974" spans="1:14" ht="13.5" customHeight="1">
      <c r="A974" s="32"/>
      <c r="B974" s="33">
        <v>5511</v>
      </c>
      <c r="C974" s="34" t="s">
        <v>404</v>
      </c>
      <c r="D974" s="52">
        <v>11300</v>
      </c>
      <c r="E974" s="17">
        <v>13540</v>
      </c>
      <c r="F974" s="226">
        <f t="shared" ref="F974" si="772">SUM(F975:F983)</f>
        <v>16666</v>
      </c>
      <c r="G974" s="17">
        <f>SUM(G975:G984)</f>
        <v>1082</v>
      </c>
      <c r="H974" s="17">
        <f>SUM(H975:H984)</f>
        <v>17748</v>
      </c>
      <c r="I974" s="17">
        <f>SUM(I975:I984)</f>
        <v>2207</v>
      </c>
      <c r="J974" s="17">
        <f>SUM(J975:J984)</f>
        <v>19955</v>
      </c>
      <c r="K974" s="17">
        <f t="shared" ref="K974:L974" si="773">SUM(K975:K984)</f>
        <v>18628</v>
      </c>
      <c r="L974" s="17">
        <f t="shared" si="773"/>
        <v>22200</v>
      </c>
      <c r="M974" s="335">
        <f t="shared" si="749"/>
        <v>0.11250313204710599</v>
      </c>
      <c r="N974" s="329">
        <f t="shared" si="761"/>
        <v>2245</v>
      </c>
    </row>
    <row r="975" spans="1:14" s="142" customFormat="1" ht="13.5" customHeight="1">
      <c r="A975" s="144"/>
      <c r="B975" s="158" t="s">
        <v>533</v>
      </c>
      <c r="C975" s="146" t="s">
        <v>233</v>
      </c>
      <c r="D975" s="151">
        <v>0</v>
      </c>
      <c r="E975" s="147">
        <v>0</v>
      </c>
      <c r="F975" s="229">
        <v>0</v>
      </c>
      <c r="G975" s="147"/>
      <c r="H975" s="147">
        <f t="shared" si="766"/>
        <v>0</v>
      </c>
      <c r="I975" s="147"/>
      <c r="J975" s="147">
        <f t="shared" ref="J975:J994" si="774">+I975+H975</f>
        <v>0</v>
      </c>
      <c r="K975" s="147"/>
      <c r="L975" s="229"/>
      <c r="M975" s="335" t="e">
        <f t="shared" si="749"/>
        <v>#DIV/0!</v>
      </c>
      <c r="N975" s="329">
        <f t="shared" si="761"/>
        <v>0</v>
      </c>
    </row>
    <row r="976" spans="1:14" s="142" customFormat="1" ht="13.5" customHeight="1">
      <c r="A976" s="144"/>
      <c r="B976" s="158" t="s">
        <v>534</v>
      </c>
      <c r="C976" s="146" t="s">
        <v>235</v>
      </c>
      <c r="D976" s="151">
        <v>4800</v>
      </c>
      <c r="E976" s="147">
        <v>8000</v>
      </c>
      <c r="F976" s="229">
        <v>13000</v>
      </c>
      <c r="G976" s="147"/>
      <c r="H976" s="147">
        <f t="shared" si="766"/>
        <v>13000</v>
      </c>
      <c r="I976" s="147">
        <v>-2000</v>
      </c>
      <c r="J976" s="147">
        <f t="shared" si="774"/>
        <v>11000</v>
      </c>
      <c r="K976" s="147">
        <v>5606</v>
      </c>
      <c r="L976" s="229">
        <v>12000</v>
      </c>
      <c r="M976" s="335">
        <f t="shared" si="749"/>
        <v>9.0909090909090912E-2</v>
      </c>
      <c r="N976" s="329">
        <f t="shared" si="761"/>
        <v>1000</v>
      </c>
    </row>
    <row r="977" spans="1:14" s="142" customFormat="1" ht="13.5" customHeight="1">
      <c r="A977" s="144"/>
      <c r="B977" s="158" t="s">
        <v>535</v>
      </c>
      <c r="C977" s="146" t="s">
        <v>237</v>
      </c>
      <c r="D977" s="151">
        <v>2000</v>
      </c>
      <c r="E977" s="147">
        <v>100</v>
      </c>
      <c r="F977" s="229">
        <v>200</v>
      </c>
      <c r="G977" s="147"/>
      <c r="H977" s="147">
        <f t="shared" si="766"/>
        <v>200</v>
      </c>
      <c r="I977" s="147"/>
      <c r="J977" s="147">
        <f t="shared" si="774"/>
        <v>200</v>
      </c>
      <c r="K977" s="147">
        <v>87</v>
      </c>
      <c r="L977" s="229">
        <v>150</v>
      </c>
      <c r="M977" s="335">
        <f t="shared" si="749"/>
        <v>-0.25</v>
      </c>
      <c r="N977" s="329">
        <f t="shared" si="761"/>
        <v>-50</v>
      </c>
    </row>
    <row r="978" spans="1:14" s="142" customFormat="1" ht="13.5" customHeight="1">
      <c r="A978" s="144"/>
      <c r="B978" s="158" t="s">
        <v>536</v>
      </c>
      <c r="C978" s="146" t="s">
        <v>239</v>
      </c>
      <c r="D978" s="151">
        <v>500</v>
      </c>
      <c r="E978" s="147">
        <v>200</v>
      </c>
      <c r="F978" s="229">
        <v>1000</v>
      </c>
      <c r="G978" s="147"/>
      <c r="H978" s="147">
        <f t="shared" si="766"/>
        <v>1000</v>
      </c>
      <c r="I978" s="147">
        <v>1000</v>
      </c>
      <c r="J978" s="147">
        <f t="shared" si="774"/>
        <v>2000</v>
      </c>
      <c r="K978" s="147">
        <v>3744</v>
      </c>
      <c r="L978" s="229">
        <v>2000</v>
      </c>
      <c r="M978" s="335">
        <f t="shared" si="749"/>
        <v>0</v>
      </c>
      <c r="N978" s="329">
        <f t="shared" si="761"/>
        <v>0</v>
      </c>
    </row>
    <row r="979" spans="1:14" s="142" customFormat="1" ht="13.5" customHeight="1">
      <c r="A979" s="144"/>
      <c r="B979" s="158" t="s">
        <v>537</v>
      </c>
      <c r="C979" s="146" t="s">
        <v>241</v>
      </c>
      <c r="D979" s="151">
        <v>300</v>
      </c>
      <c r="E979" s="147">
        <v>1000</v>
      </c>
      <c r="F979" s="229">
        <v>1400</v>
      </c>
      <c r="G979" s="147"/>
      <c r="H979" s="147">
        <f t="shared" si="766"/>
        <v>1400</v>
      </c>
      <c r="I979" s="147"/>
      <c r="J979" s="147">
        <f t="shared" si="774"/>
        <v>1400</v>
      </c>
      <c r="K979" s="147">
        <v>1879</v>
      </c>
      <c r="L979" s="229">
        <v>2000</v>
      </c>
      <c r="M979" s="335">
        <f t="shared" si="749"/>
        <v>0.42857142857142855</v>
      </c>
      <c r="N979" s="329">
        <f t="shared" si="761"/>
        <v>600</v>
      </c>
    </row>
    <row r="980" spans="1:14" s="142" customFormat="1" ht="13.5" customHeight="1">
      <c r="A980" s="144"/>
      <c r="B980" s="158" t="s">
        <v>538</v>
      </c>
      <c r="C980" s="146" t="s">
        <v>243</v>
      </c>
      <c r="D980" s="169">
        <v>200</v>
      </c>
      <c r="E980" s="147">
        <v>240</v>
      </c>
      <c r="F980" s="229">
        <v>720</v>
      </c>
      <c r="G980" s="147"/>
      <c r="H980" s="147">
        <f t="shared" si="766"/>
        <v>720</v>
      </c>
      <c r="I980" s="147"/>
      <c r="J980" s="147">
        <f t="shared" si="774"/>
        <v>720</v>
      </c>
      <c r="K980" s="147">
        <v>394</v>
      </c>
      <c r="L980" s="229">
        <v>720</v>
      </c>
      <c r="M980" s="335">
        <f t="shared" si="749"/>
        <v>0</v>
      </c>
      <c r="N980" s="329">
        <f t="shared" si="761"/>
        <v>0</v>
      </c>
    </row>
    <row r="981" spans="1:14" s="142" customFormat="1" ht="13.5" customHeight="1">
      <c r="A981" s="144"/>
      <c r="B981" s="158" t="s">
        <v>539</v>
      </c>
      <c r="C981" s="146" t="s">
        <v>487</v>
      </c>
      <c r="D981" s="151">
        <v>3000</v>
      </c>
      <c r="E981" s="147">
        <v>4000</v>
      </c>
      <c r="F981" s="229">
        <v>200</v>
      </c>
      <c r="G981" s="147"/>
      <c r="H981" s="147">
        <f t="shared" si="766"/>
        <v>200</v>
      </c>
      <c r="I981" s="147">
        <v>3200</v>
      </c>
      <c r="J981" s="147">
        <f t="shared" si="774"/>
        <v>3400</v>
      </c>
      <c r="K981" s="147">
        <v>5978</v>
      </c>
      <c r="L981" s="229">
        <v>3900</v>
      </c>
      <c r="M981" s="335">
        <f t="shared" si="749"/>
        <v>0.14705882352941177</v>
      </c>
      <c r="N981" s="329">
        <f t="shared" si="761"/>
        <v>500</v>
      </c>
    </row>
    <row r="982" spans="1:14" s="142" customFormat="1" ht="13.5" customHeight="1">
      <c r="A982" s="144"/>
      <c r="B982" s="158" t="s">
        <v>540</v>
      </c>
      <c r="C982" s="146" t="s">
        <v>247</v>
      </c>
      <c r="D982" s="151">
        <v>500</v>
      </c>
      <c r="E982" s="147">
        <v>0</v>
      </c>
      <c r="F982" s="229">
        <v>146</v>
      </c>
      <c r="G982" s="147"/>
      <c r="H982" s="147">
        <f t="shared" si="766"/>
        <v>146</v>
      </c>
      <c r="I982" s="147">
        <v>7</v>
      </c>
      <c r="J982" s="147">
        <f t="shared" si="774"/>
        <v>153</v>
      </c>
      <c r="K982" s="147">
        <v>153</v>
      </c>
      <c r="L982" s="229">
        <v>160</v>
      </c>
      <c r="M982" s="335">
        <f t="shared" si="749"/>
        <v>4.5751633986928102E-2</v>
      </c>
      <c r="N982" s="329">
        <f t="shared" si="761"/>
        <v>7</v>
      </c>
    </row>
    <row r="983" spans="1:14" s="142" customFormat="1" ht="13.5" customHeight="1">
      <c r="A983" s="144"/>
      <c r="B983" s="158"/>
      <c r="C983" s="146" t="s">
        <v>332</v>
      </c>
      <c r="D983" s="151">
        <v>0</v>
      </c>
      <c r="E983" s="147">
        <v>0</v>
      </c>
      <c r="F983" s="229">
        <v>0</v>
      </c>
      <c r="G983" s="147"/>
      <c r="H983" s="147">
        <f t="shared" si="766"/>
        <v>0</v>
      </c>
      <c r="I983" s="147"/>
      <c r="J983" s="147">
        <f t="shared" si="774"/>
        <v>0</v>
      </c>
      <c r="K983" s="147"/>
      <c r="L983" s="229">
        <v>70</v>
      </c>
      <c r="M983" s="335" t="e">
        <f t="shared" si="749"/>
        <v>#DIV/0!</v>
      </c>
      <c r="N983" s="329">
        <f t="shared" si="761"/>
        <v>70</v>
      </c>
    </row>
    <row r="984" spans="1:14" s="142" customFormat="1" ht="13.5" customHeight="1">
      <c r="A984" s="144"/>
      <c r="B984" s="158"/>
      <c r="C984" s="146" t="s">
        <v>524</v>
      </c>
      <c r="D984" s="151"/>
      <c r="E984" s="147"/>
      <c r="F984" s="229"/>
      <c r="G984" s="242">
        <v>1082</v>
      </c>
      <c r="H984" s="147">
        <f t="shared" si="766"/>
        <v>1082</v>
      </c>
      <c r="I984" s="147"/>
      <c r="J984" s="147">
        <f t="shared" si="774"/>
        <v>1082</v>
      </c>
      <c r="K984" s="147">
        <v>787</v>
      </c>
      <c r="L984" s="229">
        <v>1200</v>
      </c>
      <c r="M984" s="335">
        <f t="shared" si="749"/>
        <v>0.10905730129390019</v>
      </c>
      <c r="N984" s="329">
        <f t="shared" si="761"/>
        <v>118</v>
      </c>
    </row>
    <row r="985" spans="1:14" s="142" customFormat="1" ht="13.5" customHeight="1">
      <c r="A985" s="144"/>
      <c r="B985" s="33">
        <v>5512</v>
      </c>
      <c r="C985" s="34" t="s">
        <v>344</v>
      </c>
      <c r="D985" s="151"/>
      <c r="E985" s="147">
        <v>0</v>
      </c>
      <c r="F985" s="226">
        <v>100</v>
      </c>
      <c r="G985" s="17"/>
      <c r="H985" s="17">
        <f t="shared" ref="H985:H994" si="775">+G985+F985</f>
        <v>100</v>
      </c>
      <c r="I985" s="17"/>
      <c r="J985" s="17">
        <f t="shared" si="774"/>
        <v>100</v>
      </c>
      <c r="K985" s="17"/>
      <c r="L985" s="226">
        <v>100</v>
      </c>
      <c r="M985" s="335">
        <f t="shared" si="749"/>
        <v>0</v>
      </c>
      <c r="N985" s="329">
        <f t="shared" si="761"/>
        <v>0</v>
      </c>
    </row>
    <row r="986" spans="1:14" ht="13.5" customHeight="1">
      <c r="A986" s="32"/>
      <c r="B986" s="33">
        <v>5513</v>
      </c>
      <c r="C986" s="34" t="s">
        <v>435</v>
      </c>
      <c r="D986" s="52">
        <v>300</v>
      </c>
      <c r="E986" s="17">
        <v>400</v>
      </c>
      <c r="F986" s="226">
        <v>400</v>
      </c>
      <c r="G986" s="17"/>
      <c r="H986" s="17">
        <f t="shared" si="775"/>
        <v>400</v>
      </c>
      <c r="I986" s="17"/>
      <c r="J986" s="17">
        <f t="shared" si="774"/>
        <v>400</v>
      </c>
      <c r="K986" s="17">
        <v>192</v>
      </c>
      <c r="L986" s="226">
        <v>400</v>
      </c>
      <c r="M986" s="335">
        <f t="shared" si="749"/>
        <v>0</v>
      </c>
      <c r="N986" s="329">
        <f t="shared" si="761"/>
        <v>0</v>
      </c>
    </row>
    <row r="987" spans="1:14" ht="13.5" customHeight="1">
      <c r="A987" s="32"/>
      <c r="B987" s="33">
        <v>5514</v>
      </c>
      <c r="C987" s="34" t="s">
        <v>508</v>
      </c>
      <c r="D987" s="52">
        <v>700</v>
      </c>
      <c r="E987" s="17">
        <v>1300</v>
      </c>
      <c r="F987" s="226">
        <v>500</v>
      </c>
      <c r="G987" s="17"/>
      <c r="H987" s="17">
        <f t="shared" si="775"/>
        <v>500</v>
      </c>
      <c r="I987" s="17">
        <v>300</v>
      </c>
      <c r="J987" s="17">
        <f t="shared" si="774"/>
        <v>800</v>
      </c>
      <c r="K987" s="17">
        <v>579</v>
      </c>
      <c r="L987" s="226">
        <v>800</v>
      </c>
      <c r="M987" s="335">
        <f t="shared" si="749"/>
        <v>0</v>
      </c>
      <c r="N987" s="329">
        <f t="shared" si="761"/>
        <v>0</v>
      </c>
    </row>
    <row r="988" spans="1:14" ht="13.5" customHeight="1">
      <c r="A988" s="32"/>
      <c r="B988" s="33">
        <v>5515</v>
      </c>
      <c r="C988" s="34" t="s">
        <v>509</v>
      </c>
      <c r="D988" s="52">
        <v>3630</v>
      </c>
      <c r="E988" s="17">
        <v>11838</v>
      </c>
      <c r="F988" s="226">
        <v>9000</v>
      </c>
      <c r="G988" s="17"/>
      <c r="H988" s="17">
        <f t="shared" si="775"/>
        <v>9000</v>
      </c>
      <c r="I988" s="17">
        <v>1800</v>
      </c>
      <c r="J988" s="17">
        <f t="shared" si="774"/>
        <v>10800</v>
      </c>
      <c r="K988" s="17">
        <v>7289</v>
      </c>
      <c r="L988" s="226">
        <v>5000</v>
      </c>
      <c r="M988" s="335">
        <f t="shared" si="749"/>
        <v>-0.53703703703703709</v>
      </c>
      <c r="N988" s="329">
        <f t="shared" si="761"/>
        <v>-5800</v>
      </c>
    </row>
    <row r="989" spans="1:14" ht="13.5" customHeight="1">
      <c r="A989" s="32"/>
      <c r="B989" s="33" t="s">
        <v>258</v>
      </c>
      <c r="C989" s="34" t="s">
        <v>259</v>
      </c>
      <c r="D989" s="52"/>
      <c r="E989" s="17">
        <v>2200</v>
      </c>
      <c r="F989" s="226">
        <v>500</v>
      </c>
      <c r="G989" s="17"/>
      <c r="H989" s="17">
        <f t="shared" si="775"/>
        <v>500</v>
      </c>
      <c r="I989" s="17">
        <v>3900</v>
      </c>
      <c r="J989" s="17">
        <f t="shared" si="774"/>
        <v>4400</v>
      </c>
      <c r="K989" s="17">
        <v>3044</v>
      </c>
      <c r="L989" s="226">
        <v>2000</v>
      </c>
      <c r="M989" s="335">
        <f t="shared" si="749"/>
        <v>-0.54545454545454541</v>
      </c>
      <c r="N989" s="329">
        <f t="shared" si="761"/>
        <v>-2400</v>
      </c>
    </row>
    <row r="990" spans="1:14" ht="13.5" customHeight="1">
      <c r="A990" s="32"/>
      <c r="B990" s="33">
        <v>5522</v>
      </c>
      <c r="C990" s="34" t="s">
        <v>530</v>
      </c>
      <c r="D990" s="52">
        <v>100</v>
      </c>
      <c r="E990" s="17">
        <v>0</v>
      </c>
      <c r="F990" s="226">
        <v>300</v>
      </c>
      <c r="G990" s="17"/>
      <c r="H990" s="17">
        <f t="shared" si="775"/>
        <v>300</v>
      </c>
      <c r="I990" s="17">
        <v>150</v>
      </c>
      <c r="J990" s="17">
        <f t="shared" si="774"/>
        <v>450</v>
      </c>
      <c r="K990" s="17">
        <v>440</v>
      </c>
      <c r="L990" s="226">
        <v>200</v>
      </c>
      <c r="M990" s="335">
        <f t="shared" si="749"/>
        <v>-0.55555555555555558</v>
      </c>
      <c r="N990" s="329">
        <f t="shared" si="761"/>
        <v>-250</v>
      </c>
    </row>
    <row r="991" spans="1:14" ht="13.5" customHeight="1">
      <c r="A991" s="32"/>
      <c r="B991" s="33">
        <v>5524</v>
      </c>
      <c r="C991" s="34" t="s">
        <v>466</v>
      </c>
      <c r="D991" s="52"/>
      <c r="E991" s="17">
        <v>0</v>
      </c>
      <c r="F991" s="226"/>
      <c r="G991" s="17"/>
      <c r="H991" s="17">
        <f t="shared" si="775"/>
        <v>0</v>
      </c>
      <c r="I991" s="17"/>
      <c r="J991" s="17">
        <f t="shared" si="774"/>
        <v>0</v>
      </c>
      <c r="K991" s="17"/>
      <c r="L991" s="226"/>
      <c r="M991" s="335" t="e">
        <f t="shared" si="749"/>
        <v>#DIV/0!</v>
      </c>
      <c r="N991" s="329">
        <f t="shared" si="761"/>
        <v>0</v>
      </c>
    </row>
    <row r="992" spans="1:14" ht="13.5" customHeight="1">
      <c r="A992" s="32"/>
      <c r="B992" s="33">
        <v>5525</v>
      </c>
      <c r="C992" s="34" t="s">
        <v>510</v>
      </c>
      <c r="D992" s="52">
        <v>11000</v>
      </c>
      <c r="E992" s="17">
        <v>12000</v>
      </c>
      <c r="F992" s="226">
        <v>15000</v>
      </c>
      <c r="G992" s="17"/>
      <c r="H992" s="17">
        <f t="shared" si="775"/>
        <v>15000</v>
      </c>
      <c r="I992" s="17"/>
      <c r="J992" s="17">
        <f t="shared" si="774"/>
        <v>15000</v>
      </c>
      <c r="K992" s="17">
        <v>1476</v>
      </c>
      <c r="L992" s="226">
        <v>16000</v>
      </c>
      <c r="M992" s="335">
        <f t="shared" si="749"/>
        <v>6.6666666666666666E-2</v>
      </c>
      <c r="N992" s="329">
        <f t="shared" si="761"/>
        <v>1000</v>
      </c>
    </row>
    <row r="993" spans="1:14" ht="13.5" customHeight="1">
      <c r="A993" s="32"/>
      <c r="B993" s="33">
        <v>5532</v>
      </c>
      <c r="C993" s="34" t="s">
        <v>378</v>
      </c>
      <c r="D993" s="52"/>
      <c r="E993" s="17"/>
      <c r="F993" s="226"/>
      <c r="G993" s="17"/>
      <c r="H993" s="17"/>
      <c r="I993" s="17"/>
      <c r="J993" s="17"/>
      <c r="K993" s="17">
        <v>9257</v>
      </c>
      <c r="L993" s="226">
        <v>1000</v>
      </c>
      <c r="M993" s="335"/>
      <c r="N993" s="329">
        <f t="shared" si="761"/>
        <v>1000</v>
      </c>
    </row>
    <row r="994" spans="1:14" ht="13.5" customHeight="1">
      <c r="A994" s="32"/>
      <c r="B994" s="33">
        <v>5540</v>
      </c>
      <c r="C994" s="34" t="s">
        <v>348</v>
      </c>
      <c r="D994" s="52">
        <v>0</v>
      </c>
      <c r="E994" s="17">
        <v>588</v>
      </c>
      <c r="F994" s="226">
        <f>500+3000</f>
        <v>3500</v>
      </c>
      <c r="G994" s="17"/>
      <c r="H994" s="17">
        <f t="shared" si="775"/>
        <v>3500</v>
      </c>
      <c r="I994" s="17"/>
      <c r="J994" s="17">
        <f t="shared" si="774"/>
        <v>3500</v>
      </c>
      <c r="K994" s="17">
        <v>2598</v>
      </c>
      <c r="L994" s="226">
        <v>3500</v>
      </c>
      <c r="M994" s="335">
        <f t="shared" si="749"/>
        <v>0</v>
      </c>
      <c r="N994" s="329">
        <f t="shared" si="761"/>
        <v>0</v>
      </c>
    </row>
    <row r="995" spans="1:14" ht="13.5" customHeight="1">
      <c r="A995" s="56" t="s">
        <v>541</v>
      </c>
      <c r="B995" s="46"/>
      <c r="C995" s="47" t="s">
        <v>542</v>
      </c>
      <c r="D995" s="53">
        <v>65000</v>
      </c>
      <c r="E995" s="54">
        <v>65000</v>
      </c>
      <c r="F995" s="54">
        <f t="shared" ref="F995:G995" si="776">+F996+F997</f>
        <v>65000</v>
      </c>
      <c r="G995" s="54">
        <f t="shared" si="776"/>
        <v>0</v>
      </c>
      <c r="H995" s="54">
        <f t="shared" ref="H995:I995" si="777">+H996+H997</f>
        <v>65000</v>
      </c>
      <c r="I995" s="54">
        <f t="shared" si="777"/>
        <v>10000</v>
      </c>
      <c r="J995" s="54">
        <f t="shared" ref="J995:L995" si="778">+J996+J997</f>
        <v>75000</v>
      </c>
      <c r="K995" s="54">
        <f t="shared" si="778"/>
        <v>65000</v>
      </c>
      <c r="L995" s="54">
        <f t="shared" si="778"/>
        <v>65000</v>
      </c>
      <c r="M995" s="335">
        <f t="shared" si="749"/>
        <v>-0.13333333333333333</v>
      </c>
      <c r="N995" s="329">
        <f t="shared" si="761"/>
        <v>-10000</v>
      </c>
    </row>
    <row r="996" spans="1:14" ht="13.5" customHeight="1">
      <c r="A996" s="37"/>
      <c r="B996" s="33">
        <v>4521</v>
      </c>
      <c r="C996" s="34" t="s">
        <v>543</v>
      </c>
      <c r="D996" s="52">
        <v>65000</v>
      </c>
      <c r="E996" s="140">
        <v>65000</v>
      </c>
      <c r="F996" s="140">
        <v>65000</v>
      </c>
      <c r="G996" s="140"/>
      <c r="H996" s="140">
        <f>+F996+G996</f>
        <v>65000</v>
      </c>
      <c r="I996" s="226">
        <v>10000</v>
      </c>
      <c r="J996" s="140">
        <f>+H996+I996</f>
        <v>75000</v>
      </c>
      <c r="K996" s="140">
        <v>65000</v>
      </c>
      <c r="L996" s="140">
        <v>65000</v>
      </c>
      <c r="M996" s="335">
        <f t="shared" si="749"/>
        <v>-0.13333333333333333</v>
      </c>
      <c r="N996" s="329">
        <f t="shared" si="761"/>
        <v>-10000</v>
      </c>
    </row>
    <row r="997" spans="1:14" ht="12.95" customHeight="1">
      <c r="A997" s="32"/>
      <c r="B997" s="33" t="s">
        <v>214</v>
      </c>
      <c r="C997" s="34" t="s">
        <v>544</v>
      </c>
      <c r="D997" s="52"/>
      <c r="E997" s="137">
        <v>0</v>
      </c>
      <c r="F997" s="226">
        <v>0</v>
      </c>
      <c r="G997" s="17"/>
      <c r="H997" s="137">
        <f>+F997+G997</f>
        <v>0</v>
      </c>
      <c r="I997" s="17"/>
      <c r="J997" s="137">
        <f>+H997+I997</f>
        <v>0</v>
      </c>
      <c r="K997" s="137"/>
      <c r="L997" s="226">
        <v>0</v>
      </c>
      <c r="M997" s="335" t="e">
        <f t="shared" si="749"/>
        <v>#DIV/0!</v>
      </c>
      <c r="N997" s="329">
        <f t="shared" si="761"/>
        <v>0</v>
      </c>
    </row>
    <row r="998" spans="1:14" ht="13.5" customHeight="1">
      <c r="A998" s="45" t="s">
        <v>545</v>
      </c>
      <c r="B998" s="46"/>
      <c r="C998" s="47" t="s">
        <v>546</v>
      </c>
      <c r="D998" s="53">
        <v>7660</v>
      </c>
      <c r="E998" s="50">
        <v>7660</v>
      </c>
      <c r="F998" s="50">
        <f t="shared" ref="F998:G998" si="779">+F999+F1000</f>
        <v>9132</v>
      </c>
      <c r="G998" s="50">
        <f t="shared" si="779"/>
        <v>0</v>
      </c>
      <c r="H998" s="50">
        <f t="shared" ref="H998:I998" si="780">+H999+H1000</f>
        <v>9132</v>
      </c>
      <c r="I998" s="50">
        <f t="shared" si="780"/>
        <v>0</v>
      </c>
      <c r="J998" s="50">
        <f t="shared" ref="J998:L998" si="781">+J999+J1000</f>
        <v>9132</v>
      </c>
      <c r="K998" s="50">
        <f t="shared" si="781"/>
        <v>7238</v>
      </c>
      <c r="L998" s="50">
        <f t="shared" si="781"/>
        <v>9200</v>
      </c>
      <c r="M998" s="335">
        <f t="shared" si="749"/>
        <v>7.4463425317564608E-3</v>
      </c>
      <c r="N998" s="329">
        <f t="shared" si="761"/>
        <v>68</v>
      </c>
    </row>
    <row r="999" spans="1:14" ht="13.5" customHeight="1">
      <c r="A999" s="66"/>
      <c r="B999" s="64">
        <v>4528</v>
      </c>
      <c r="C999" s="40" t="s">
        <v>547</v>
      </c>
      <c r="D999" s="52">
        <v>4760</v>
      </c>
      <c r="E999" s="140">
        <v>4760</v>
      </c>
      <c r="F999" s="140">
        <v>4760</v>
      </c>
      <c r="G999" s="140"/>
      <c r="H999" s="140">
        <f>+F999+G999</f>
        <v>4760</v>
      </c>
      <c r="I999" s="140"/>
      <c r="J999" s="140">
        <f>+H999+I999</f>
        <v>4760</v>
      </c>
      <c r="K999" s="140">
        <v>4760</v>
      </c>
      <c r="L999" s="140">
        <v>4760</v>
      </c>
      <c r="M999" s="335">
        <f t="shared" si="749"/>
        <v>0</v>
      </c>
      <c r="N999" s="329">
        <f t="shared" si="761"/>
        <v>0</v>
      </c>
    </row>
    <row r="1000" spans="1:14" ht="13.5" customHeight="1">
      <c r="A1000" s="32"/>
      <c r="B1000" s="38">
        <v>55</v>
      </c>
      <c r="C1000" s="39" t="s">
        <v>213</v>
      </c>
      <c r="D1000" s="52">
        <v>2900</v>
      </c>
      <c r="E1000" s="139">
        <v>2900</v>
      </c>
      <c r="F1000" s="139">
        <f t="shared" ref="F1000:L1000" si="782">+F1001</f>
        <v>4372</v>
      </c>
      <c r="G1000" s="277">
        <f t="shared" si="782"/>
        <v>0</v>
      </c>
      <c r="H1000" s="139">
        <f t="shared" si="782"/>
        <v>4372</v>
      </c>
      <c r="I1000" s="139">
        <f t="shared" si="782"/>
        <v>0</v>
      </c>
      <c r="J1000" s="139">
        <f t="shared" si="782"/>
        <v>4372</v>
      </c>
      <c r="K1000" s="139">
        <f t="shared" si="782"/>
        <v>2478</v>
      </c>
      <c r="L1000" s="139">
        <f t="shared" si="782"/>
        <v>4440</v>
      </c>
      <c r="M1000" s="335">
        <f t="shared" si="749"/>
        <v>1.555352241537054E-2</v>
      </c>
      <c r="N1000" s="329">
        <f t="shared" si="761"/>
        <v>68</v>
      </c>
    </row>
    <row r="1001" spans="1:14" ht="13.5" customHeight="1">
      <c r="A1001" s="32"/>
      <c r="B1001" s="33">
        <v>5511</v>
      </c>
      <c r="C1001" s="34" t="s">
        <v>404</v>
      </c>
      <c r="D1001" s="52"/>
      <c r="E1001" s="17">
        <v>2900</v>
      </c>
      <c r="F1001" s="225">
        <f>SUM(F1002:F1006)</f>
        <v>4372</v>
      </c>
      <c r="G1001" s="17">
        <f t="shared" ref="G1001:H1001" si="783">SUM(G1002:G1006)</f>
        <v>0</v>
      </c>
      <c r="H1001" s="17">
        <f t="shared" si="783"/>
        <v>4372</v>
      </c>
      <c r="I1001" s="17">
        <f t="shared" ref="I1001:K1001" si="784">SUM(I1002:I1006)</f>
        <v>0</v>
      </c>
      <c r="J1001" s="17">
        <f t="shared" si="784"/>
        <v>4372</v>
      </c>
      <c r="K1001" s="17">
        <f t="shared" si="784"/>
        <v>2478</v>
      </c>
      <c r="L1001" s="225">
        <f>SUM(L1002:L1006)</f>
        <v>4440</v>
      </c>
      <c r="M1001" s="335">
        <f t="shared" si="749"/>
        <v>1.555352241537054E-2</v>
      </c>
      <c r="N1001" s="329">
        <f t="shared" si="761"/>
        <v>68</v>
      </c>
    </row>
    <row r="1002" spans="1:14" s="150" customFormat="1" ht="13.5" customHeight="1">
      <c r="A1002" s="157"/>
      <c r="B1002" s="158"/>
      <c r="C1002" s="146" t="s">
        <v>548</v>
      </c>
      <c r="D1002" s="151">
        <v>180</v>
      </c>
      <c r="E1002" s="147">
        <v>2900</v>
      </c>
      <c r="F1002" s="229">
        <v>4000</v>
      </c>
      <c r="G1002" s="147"/>
      <c r="H1002" s="147">
        <f t="shared" ref="H1002:H1006" si="785">+G1002+F1002</f>
        <v>4000</v>
      </c>
      <c r="I1002" s="147">
        <v>-15</v>
      </c>
      <c r="J1002" s="147">
        <f t="shared" ref="J1002:J1006" si="786">+I1002+H1002</f>
        <v>3985</v>
      </c>
      <c r="K1002" s="147">
        <f>1839+310</f>
        <v>2149</v>
      </c>
      <c r="L1002" s="229">
        <v>4040</v>
      </c>
      <c r="M1002" s="335">
        <f t="shared" si="749"/>
        <v>1.3801756587202008E-2</v>
      </c>
      <c r="N1002" s="329">
        <f t="shared" si="761"/>
        <v>55</v>
      </c>
    </row>
    <row r="1003" spans="1:14" s="150" customFormat="1" ht="13.5" customHeight="1">
      <c r="A1003" s="157"/>
      <c r="B1003" s="158"/>
      <c r="C1003" s="146" t="s">
        <v>237</v>
      </c>
      <c r="D1003" s="151"/>
      <c r="E1003" s="147">
        <v>0</v>
      </c>
      <c r="F1003" s="229">
        <v>20</v>
      </c>
      <c r="G1003" s="147"/>
      <c r="H1003" s="147">
        <f t="shared" si="785"/>
        <v>20</v>
      </c>
      <c r="I1003" s="147">
        <v>-10</v>
      </c>
      <c r="J1003" s="147">
        <f t="shared" si="786"/>
        <v>10</v>
      </c>
      <c r="K1003" s="147">
        <v>0</v>
      </c>
      <c r="L1003" s="229">
        <v>10</v>
      </c>
      <c r="M1003" s="335">
        <f t="shared" si="749"/>
        <v>0</v>
      </c>
      <c r="N1003" s="329">
        <f t="shared" si="761"/>
        <v>0</v>
      </c>
    </row>
    <row r="1004" spans="1:14" s="150" customFormat="1" ht="13.5" customHeight="1">
      <c r="A1004" s="157"/>
      <c r="B1004" s="158"/>
      <c r="C1004" s="146" t="s">
        <v>243</v>
      </c>
      <c r="D1004" s="151"/>
      <c r="E1004" s="147">
        <v>0</v>
      </c>
      <c r="F1004" s="229">
        <v>192</v>
      </c>
      <c r="G1004" s="147"/>
      <c r="H1004" s="147">
        <f t="shared" si="785"/>
        <v>192</v>
      </c>
      <c r="I1004" s="147"/>
      <c r="J1004" s="147">
        <f t="shared" si="786"/>
        <v>192</v>
      </c>
      <c r="K1004" s="147">
        <v>144</v>
      </c>
      <c r="L1004" s="229">
        <v>200</v>
      </c>
      <c r="M1004" s="335">
        <f t="shared" si="749"/>
        <v>4.1666666666666664E-2</v>
      </c>
      <c r="N1004" s="329">
        <f t="shared" si="761"/>
        <v>8</v>
      </c>
    </row>
    <row r="1005" spans="1:14" s="150" customFormat="1" ht="13.5" customHeight="1">
      <c r="A1005" s="157"/>
      <c r="B1005" s="158"/>
      <c r="C1005" s="146" t="s">
        <v>247</v>
      </c>
      <c r="D1005" s="151"/>
      <c r="E1005" s="147">
        <v>0</v>
      </c>
      <c r="F1005" s="229">
        <v>160</v>
      </c>
      <c r="G1005" s="147"/>
      <c r="H1005" s="147">
        <f t="shared" si="785"/>
        <v>160</v>
      </c>
      <c r="I1005" s="147">
        <v>25</v>
      </c>
      <c r="J1005" s="147">
        <f t="shared" si="786"/>
        <v>185</v>
      </c>
      <c r="K1005" s="147">
        <v>185</v>
      </c>
      <c r="L1005" s="229">
        <v>190</v>
      </c>
      <c r="M1005" s="335">
        <f t="shared" si="749"/>
        <v>2.7027027027027029E-2</v>
      </c>
      <c r="N1005" s="329">
        <f t="shared" si="761"/>
        <v>5</v>
      </c>
    </row>
    <row r="1006" spans="1:14" s="150" customFormat="1" ht="13.5" customHeight="1">
      <c r="A1006" s="157"/>
      <c r="B1006" s="158"/>
      <c r="C1006" s="146" t="s">
        <v>497</v>
      </c>
      <c r="D1006" s="151">
        <v>0</v>
      </c>
      <c r="E1006" s="147">
        <v>0</v>
      </c>
      <c r="F1006" s="229">
        <v>0</v>
      </c>
      <c r="G1006" s="147"/>
      <c r="H1006" s="147">
        <f t="shared" si="785"/>
        <v>0</v>
      </c>
      <c r="I1006" s="147"/>
      <c r="J1006" s="147">
        <f t="shared" si="786"/>
        <v>0</v>
      </c>
      <c r="K1006" s="147"/>
      <c r="L1006" s="229">
        <v>0</v>
      </c>
      <c r="M1006" s="335" t="e">
        <f t="shared" si="749"/>
        <v>#DIV/0!</v>
      </c>
      <c r="N1006" s="329">
        <f t="shared" si="761"/>
        <v>0</v>
      </c>
    </row>
    <row r="1007" spans="1:14" ht="14.1" customHeight="1">
      <c r="A1007" s="45" t="s">
        <v>549</v>
      </c>
      <c r="B1007" s="46"/>
      <c r="C1007" s="47" t="s">
        <v>550</v>
      </c>
      <c r="D1007" s="53">
        <v>46000</v>
      </c>
      <c r="E1007" s="50">
        <v>65200</v>
      </c>
      <c r="F1007" s="50">
        <f t="shared" ref="F1007" si="787">+F1008+F1009</f>
        <v>65510</v>
      </c>
      <c r="G1007" s="50">
        <f t="shared" ref="G1007:H1007" si="788">+G1008+G1009</f>
        <v>2000</v>
      </c>
      <c r="H1007" s="50">
        <f t="shared" si="788"/>
        <v>67510</v>
      </c>
      <c r="I1007" s="50">
        <f t="shared" ref="I1007:J1007" si="789">+I1008+I1009</f>
        <v>0</v>
      </c>
      <c r="J1007" s="50">
        <f t="shared" si="789"/>
        <v>67510</v>
      </c>
      <c r="K1007" s="50">
        <f t="shared" ref="K1007:L1007" si="790">+K1008+K1009</f>
        <v>54200</v>
      </c>
      <c r="L1007" s="50">
        <f t="shared" si="790"/>
        <v>84200</v>
      </c>
      <c r="M1007" s="335">
        <f t="shared" ref="M1007:M1070" si="791">(L1007-J1007)/J1007</f>
        <v>0.24722263368389868</v>
      </c>
      <c r="N1007" s="329">
        <f t="shared" si="761"/>
        <v>16690</v>
      </c>
    </row>
    <row r="1008" spans="1:14" ht="14.1" customHeight="1">
      <c r="A1008" s="37"/>
      <c r="B1008" s="38">
        <v>50</v>
      </c>
      <c r="C1008" s="39" t="s">
        <v>211</v>
      </c>
      <c r="D1008" s="51">
        <v>0</v>
      </c>
      <c r="E1008" s="143">
        <v>600</v>
      </c>
      <c r="F1008" s="226">
        <v>690</v>
      </c>
      <c r="G1008" s="143"/>
      <c r="H1008" s="143">
        <f>+F1008+G1008</f>
        <v>690</v>
      </c>
      <c r="I1008" s="143"/>
      <c r="J1008" s="143">
        <f>+H1008+I1008</f>
        <v>690</v>
      </c>
      <c r="K1008" s="143">
        <v>535</v>
      </c>
      <c r="L1008" s="152">
        <v>600</v>
      </c>
      <c r="M1008" s="335">
        <f t="shared" si="791"/>
        <v>-0.13043478260869565</v>
      </c>
      <c r="N1008" s="329">
        <f t="shared" si="761"/>
        <v>-90</v>
      </c>
    </row>
    <row r="1009" spans="1:14" ht="14.1" customHeight="1">
      <c r="A1009" s="37"/>
      <c r="B1009" s="38">
        <v>55</v>
      </c>
      <c r="C1009" s="39" t="s">
        <v>213</v>
      </c>
      <c r="D1009" s="51">
        <v>46000</v>
      </c>
      <c r="E1009" s="137">
        <v>64600</v>
      </c>
      <c r="F1009" s="137">
        <f t="shared" ref="F1009" si="792">+F1010+F1011+F1012</f>
        <v>64820</v>
      </c>
      <c r="G1009" s="137">
        <f t="shared" ref="G1009:H1009" si="793">+G1010+G1011+G1012</f>
        <v>2000</v>
      </c>
      <c r="H1009" s="137">
        <f t="shared" si="793"/>
        <v>66820</v>
      </c>
      <c r="I1009" s="137">
        <f t="shared" ref="I1009:K1009" si="794">+I1010+I1011+I1012</f>
        <v>0</v>
      </c>
      <c r="J1009" s="137">
        <f t="shared" si="794"/>
        <v>66820</v>
      </c>
      <c r="K1009" s="137">
        <f t="shared" si="794"/>
        <v>53665</v>
      </c>
      <c r="L1009" s="137">
        <f t="shared" ref="L1009" si="795">+L1010+L1011+L1012</f>
        <v>83600</v>
      </c>
      <c r="M1009" s="335">
        <f t="shared" si="791"/>
        <v>0.25112241843759353</v>
      </c>
      <c r="N1009" s="329">
        <f t="shared" si="761"/>
        <v>16780</v>
      </c>
    </row>
    <row r="1010" spans="1:14" ht="13.5" customHeight="1">
      <c r="A1010" s="32"/>
      <c r="B1010" s="33">
        <v>5500</v>
      </c>
      <c r="C1010" s="34" t="s">
        <v>429</v>
      </c>
      <c r="D1010" s="52">
        <v>46000</v>
      </c>
      <c r="E1010" s="17">
        <v>63000</v>
      </c>
      <c r="F1010" s="226">
        <f>100+120+9900+27500+23000+2000</f>
        <v>62620</v>
      </c>
      <c r="G1010" s="194">
        <v>2000</v>
      </c>
      <c r="H1010" s="17">
        <f>+F1010+G1010</f>
        <v>64620</v>
      </c>
      <c r="I1010" s="17"/>
      <c r="J1010" s="17">
        <f>+H1010+I1010</f>
        <v>64620</v>
      </c>
      <c r="K1010" s="17">
        <v>52361</v>
      </c>
      <c r="L1010" s="226">
        <v>75000</v>
      </c>
      <c r="M1010" s="335">
        <f t="shared" si="791"/>
        <v>0.16063138347260911</v>
      </c>
      <c r="N1010" s="329">
        <f t="shared" si="761"/>
        <v>10380</v>
      </c>
    </row>
    <row r="1011" spans="1:14" ht="13.5" customHeight="1">
      <c r="A1011" s="32"/>
      <c r="B1011" s="33">
        <v>5514</v>
      </c>
      <c r="C1011" s="34" t="s">
        <v>508</v>
      </c>
      <c r="D1011" s="52">
        <v>0</v>
      </c>
      <c r="E1011" s="17">
        <v>1600</v>
      </c>
      <c r="F1011" s="226">
        <v>2200</v>
      </c>
      <c r="G1011" s="17"/>
      <c r="H1011" s="17">
        <f t="shared" ref="H1011:H1012" si="796">+F1011+G1011</f>
        <v>2200</v>
      </c>
      <c r="I1011" s="17"/>
      <c r="J1011" s="17">
        <f t="shared" ref="J1011:J1012" si="797">+H1011+I1011</f>
        <v>2200</v>
      </c>
      <c r="K1011" s="17">
        <v>1304</v>
      </c>
      <c r="L1011" s="226">
        <f>4000+4600</f>
        <v>8600</v>
      </c>
      <c r="M1011" s="335">
        <f t="shared" si="791"/>
        <v>2.9090909090909092</v>
      </c>
      <c r="N1011" s="329">
        <f t="shared" si="761"/>
        <v>6400</v>
      </c>
    </row>
    <row r="1012" spans="1:14" ht="13.5" customHeight="1">
      <c r="A1012" s="32"/>
      <c r="B1012" s="33">
        <v>5540</v>
      </c>
      <c r="C1012" s="34" t="s">
        <v>348</v>
      </c>
      <c r="D1012" s="52">
        <v>0</v>
      </c>
      <c r="E1012" s="17">
        <v>0</v>
      </c>
      <c r="F1012" s="226">
        <v>0</v>
      </c>
      <c r="G1012" s="17"/>
      <c r="H1012" s="17">
        <f t="shared" si="796"/>
        <v>0</v>
      </c>
      <c r="I1012" s="17"/>
      <c r="J1012" s="17">
        <f t="shared" si="797"/>
        <v>0</v>
      </c>
      <c r="K1012" s="17"/>
      <c r="L1012" s="226"/>
      <c r="M1012" s="335" t="e">
        <f t="shared" si="791"/>
        <v>#DIV/0!</v>
      </c>
      <c r="N1012" s="329">
        <f t="shared" si="761"/>
        <v>0</v>
      </c>
    </row>
    <row r="1013" spans="1:14" ht="14.1" customHeight="1">
      <c r="A1013" s="45" t="s">
        <v>551</v>
      </c>
      <c r="B1013" s="46">
        <v>45</v>
      </c>
      <c r="C1013" s="47" t="s">
        <v>552</v>
      </c>
      <c r="D1013" s="53">
        <v>12000</v>
      </c>
      <c r="E1013" s="50">
        <v>12000</v>
      </c>
      <c r="F1013" s="50">
        <f t="shared" ref="F1013:L1013" si="798">+F1014</f>
        <v>10000</v>
      </c>
      <c r="G1013" s="50">
        <f t="shared" si="798"/>
        <v>300</v>
      </c>
      <c r="H1013" s="50">
        <f t="shared" si="798"/>
        <v>10300</v>
      </c>
      <c r="I1013" s="50">
        <f t="shared" si="798"/>
        <v>0</v>
      </c>
      <c r="J1013" s="50">
        <f t="shared" si="798"/>
        <v>10300</v>
      </c>
      <c r="K1013" s="50">
        <f t="shared" si="798"/>
        <v>10000</v>
      </c>
      <c r="L1013" s="50">
        <f t="shared" si="798"/>
        <v>11300</v>
      </c>
      <c r="M1013" s="335">
        <f t="shared" si="791"/>
        <v>9.7087378640776698E-2</v>
      </c>
      <c r="N1013" s="329">
        <f t="shared" si="761"/>
        <v>1000</v>
      </c>
    </row>
    <row r="1014" spans="1:14" ht="14.1" customHeight="1">
      <c r="A1014" s="37" t="s">
        <v>553</v>
      </c>
      <c r="B1014" s="38"/>
      <c r="C1014" s="39" t="s">
        <v>554</v>
      </c>
      <c r="D1014" s="52">
        <v>12000</v>
      </c>
      <c r="E1014" s="140">
        <v>12000</v>
      </c>
      <c r="F1014" s="140">
        <v>10000</v>
      </c>
      <c r="G1014" s="194">
        <v>300</v>
      </c>
      <c r="H1014" s="140">
        <f>+F1014+G1014</f>
        <v>10300</v>
      </c>
      <c r="I1014" s="140"/>
      <c r="J1014" s="140">
        <f>+H1014+I1014</f>
        <v>10300</v>
      </c>
      <c r="K1014" s="140">
        <v>10000</v>
      </c>
      <c r="L1014" s="140">
        <f>7000+4000+300</f>
        <v>11300</v>
      </c>
      <c r="M1014" s="335">
        <f t="shared" si="791"/>
        <v>9.7087378640776698E-2</v>
      </c>
      <c r="N1014" s="329">
        <f t="shared" si="761"/>
        <v>1000</v>
      </c>
    </row>
    <row r="1015" spans="1:14" ht="14.1" customHeight="1">
      <c r="A1015" s="45" t="s">
        <v>555</v>
      </c>
      <c r="B1015" s="46"/>
      <c r="C1015" s="47" t="s">
        <v>556</v>
      </c>
      <c r="D1015" s="53">
        <v>29400</v>
      </c>
      <c r="E1015" s="50">
        <v>32142</v>
      </c>
      <c r="F1015" s="50">
        <f t="shared" ref="F1015" si="799">+F1016+F1017</f>
        <v>32630</v>
      </c>
      <c r="G1015" s="50">
        <f t="shared" ref="G1015:H1015" si="800">+G1016+G1017</f>
        <v>200</v>
      </c>
      <c r="H1015" s="50">
        <f t="shared" si="800"/>
        <v>32830</v>
      </c>
      <c r="I1015" s="50">
        <f t="shared" ref="I1015:J1015" si="801">+I1016+I1017</f>
        <v>0</v>
      </c>
      <c r="J1015" s="50">
        <f t="shared" si="801"/>
        <v>32830</v>
      </c>
      <c r="K1015" s="50">
        <f t="shared" ref="K1015:L1015" si="802">+K1016+K1017</f>
        <v>25290.95</v>
      </c>
      <c r="L1015" s="50">
        <f t="shared" si="802"/>
        <v>35400</v>
      </c>
      <c r="M1015" s="335">
        <f t="shared" si="791"/>
        <v>7.8282059092293632E-2</v>
      </c>
      <c r="N1015" s="329">
        <f t="shared" si="761"/>
        <v>2570</v>
      </c>
    </row>
    <row r="1016" spans="1:14" ht="14.1" customHeight="1">
      <c r="A1016" s="37"/>
      <c r="B1016" s="38">
        <v>50</v>
      </c>
      <c r="C1016" s="39" t="s">
        <v>211</v>
      </c>
      <c r="D1016" s="51">
        <v>24100</v>
      </c>
      <c r="E1016" s="143">
        <v>27492</v>
      </c>
      <c r="F1016" s="226">
        <v>30480</v>
      </c>
      <c r="G1016" s="143"/>
      <c r="H1016" s="143">
        <f t="shared" ref="H1016" si="803">+G1016+F1016</f>
        <v>30480</v>
      </c>
      <c r="I1016" s="143"/>
      <c r="J1016" s="143">
        <f t="shared" ref="J1016" si="804">+I1016+H1016</f>
        <v>30480</v>
      </c>
      <c r="K1016" s="143">
        <v>22880</v>
      </c>
      <c r="L1016" s="152">
        <v>31100</v>
      </c>
      <c r="M1016" s="335">
        <f t="shared" si="791"/>
        <v>2.0341207349081365E-2</v>
      </c>
      <c r="N1016" s="329">
        <f t="shared" si="761"/>
        <v>620</v>
      </c>
    </row>
    <row r="1017" spans="1:14" ht="14.1" customHeight="1">
      <c r="A1017" s="37"/>
      <c r="B1017" s="38">
        <v>55</v>
      </c>
      <c r="C1017" s="39" t="s">
        <v>213</v>
      </c>
      <c r="D1017" s="51">
        <v>5300</v>
      </c>
      <c r="E1017" s="137">
        <v>4650</v>
      </c>
      <c r="F1017" s="137">
        <f>SUM(F1018:F1024)</f>
        <v>2150</v>
      </c>
      <c r="G1017" s="137">
        <f>SUM(G1018:G1024)</f>
        <v>200</v>
      </c>
      <c r="H1017" s="137">
        <f>SUM(H1018:H1026)</f>
        <v>2350</v>
      </c>
      <c r="I1017" s="137">
        <f t="shared" ref="I1017" si="805">SUM(I1018:I1026)</f>
        <v>0</v>
      </c>
      <c r="J1017" s="137">
        <f>SUM(J1018:J1026)</f>
        <v>2350</v>
      </c>
      <c r="K1017" s="137">
        <f>SUM(K1018:K1026)</f>
        <v>2410.9499999999998</v>
      </c>
      <c r="L1017" s="137">
        <f>SUM(L1018:L1026)</f>
        <v>4300</v>
      </c>
      <c r="M1017" s="335">
        <f t="shared" si="791"/>
        <v>0.82978723404255317</v>
      </c>
      <c r="N1017" s="329">
        <f t="shared" si="761"/>
        <v>1950</v>
      </c>
    </row>
    <row r="1018" spans="1:14" ht="14.1" customHeight="1">
      <c r="A1018" s="32"/>
      <c r="B1018" s="33">
        <v>5500</v>
      </c>
      <c r="C1018" s="34" t="s">
        <v>429</v>
      </c>
      <c r="D1018" s="52">
        <v>1000</v>
      </c>
      <c r="E1018" s="17">
        <v>100</v>
      </c>
      <c r="F1018" s="226">
        <v>200</v>
      </c>
      <c r="G1018" s="17">
        <v>-50</v>
      </c>
      <c r="H1018" s="17">
        <f>+F1018+G1018</f>
        <v>150</v>
      </c>
      <c r="I1018" s="17"/>
      <c r="J1018" s="17">
        <f>+H1018+I1018</f>
        <v>150</v>
      </c>
      <c r="K1018" s="17">
        <v>130</v>
      </c>
      <c r="L1018" s="226">
        <v>200</v>
      </c>
      <c r="M1018" s="335">
        <f t="shared" si="791"/>
        <v>0.33333333333333331</v>
      </c>
      <c r="N1018" s="329">
        <f t="shared" si="761"/>
        <v>50</v>
      </c>
    </row>
    <row r="1019" spans="1:14" ht="14.1" customHeight="1">
      <c r="A1019" s="32"/>
      <c r="B1019" s="33">
        <v>5504</v>
      </c>
      <c r="C1019" s="34" t="s">
        <v>403</v>
      </c>
      <c r="D1019" s="52"/>
      <c r="E1019" s="17">
        <v>150</v>
      </c>
      <c r="F1019" s="226">
        <v>300</v>
      </c>
      <c r="G1019" s="17"/>
      <c r="H1019" s="17">
        <f t="shared" ref="H1019:H1026" si="806">+F1019+G1019</f>
        <v>300</v>
      </c>
      <c r="I1019" s="17"/>
      <c r="J1019" s="17">
        <f t="shared" ref="J1019:J1026" si="807">+H1019+I1019</f>
        <v>300</v>
      </c>
      <c r="K1019" s="17">
        <v>200</v>
      </c>
      <c r="L1019" s="226">
        <v>300</v>
      </c>
      <c r="M1019" s="335">
        <f t="shared" si="791"/>
        <v>0</v>
      </c>
      <c r="N1019" s="329">
        <f t="shared" si="761"/>
        <v>0</v>
      </c>
    </row>
    <row r="1020" spans="1:14" ht="14.1" customHeight="1">
      <c r="A1020" s="32"/>
      <c r="B1020" s="33">
        <v>5513</v>
      </c>
      <c r="C1020" s="34" t="s">
        <v>435</v>
      </c>
      <c r="D1020" s="52">
        <v>2000</v>
      </c>
      <c r="E1020" s="17">
        <v>100</v>
      </c>
      <c r="F1020" s="226">
        <v>50</v>
      </c>
      <c r="G1020" s="17">
        <v>50</v>
      </c>
      <c r="H1020" s="17">
        <f t="shared" si="806"/>
        <v>100</v>
      </c>
      <c r="I1020" s="17"/>
      <c r="J1020" s="17">
        <f t="shared" si="807"/>
        <v>100</v>
      </c>
      <c r="K1020" s="17">
        <v>90</v>
      </c>
      <c r="L1020" s="226">
        <v>100</v>
      </c>
      <c r="M1020" s="335">
        <f t="shared" si="791"/>
        <v>0</v>
      </c>
      <c r="N1020" s="329">
        <f t="shared" si="761"/>
        <v>0</v>
      </c>
    </row>
    <row r="1021" spans="1:14" ht="14.1" customHeight="1">
      <c r="A1021" s="32"/>
      <c r="B1021" s="33">
        <v>5514</v>
      </c>
      <c r="C1021" s="34" t="s">
        <v>508</v>
      </c>
      <c r="D1021" s="52">
        <v>2300</v>
      </c>
      <c r="E1021" s="17">
        <v>1766</v>
      </c>
      <c r="F1021" s="226">
        <v>1500</v>
      </c>
      <c r="G1021" s="17">
        <v>200</v>
      </c>
      <c r="H1021" s="17">
        <f t="shared" si="806"/>
        <v>1700</v>
      </c>
      <c r="I1021" s="17">
        <v>-248</v>
      </c>
      <c r="J1021" s="17">
        <f t="shared" si="807"/>
        <v>1452</v>
      </c>
      <c r="K1021" s="17">
        <v>1431</v>
      </c>
      <c r="L1021" s="226">
        <v>3200</v>
      </c>
      <c r="M1021" s="335">
        <f t="shared" si="791"/>
        <v>1.2038567493112948</v>
      </c>
      <c r="N1021" s="329">
        <f t="shared" si="761"/>
        <v>1748</v>
      </c>
    </row>
    <row r="1022" spans="1:14" ht="14.1" customHeight="1">
      <c r="A1022" s="32"/>
      <c r="B1022" s="33">
        <v>5515</v>
      </c>
      <c r="C1022" s="34" t="s">
        <v>257</v>
      </c>
      <c r="D1022" s="52"/>
      <c r="E1022" s="17">
        <v>2000</v>
      </c>
      <c r="F1022" s="226">
        <v>0</v>
      </c>
      <c r="G1022" s="17"/>
      <c r="H1022" s="17">
        <f t="shared" si="806"/>
        <v>0</v>
      </c>
      <c r="I1022" s="17"/>
      <c r="J1022" s="17">
        <f t="shared" si="807"/>
        <v>0</v>
      </c>
      <c r="K1022" s="17"/>
      <c r="L1022" s="226"/>
      <c r="M1022" s="335" t="e">
        <f t="shared" si="791"/>
        <v>#DIV/0!</v>
      </c>
      <c r="N1022" s="329">
        <f t="shared" si="761"/>
        <v>0</v>
      </c>
    </row>
    <row r="1023" spans="1:14" ht="14.1" customHeight="1">
      <c r="A1023" s="32"/>
      <c r="B1023" s="33">
        <v>5522</v>
      </c>
      <c r="C1023" s="34" t="s">
        <v>262</v>
      </c>
      <c r="D1023" s="52">
        <v>0</v>
      </c>
      <c r="E1023" s="17">
        <v>0</v>
      </c>
      <c r="F1023" s="226">
        <v>100</v>
      </c>
      <c r="G1023" s="17"/>
      <c r="H1023" s="17">
        <f t="shared" si="806"/>
        <v>100</v>
      </c>
      <c r="I1023" s="17"/>
      <c r="J1023" s="17">
        <f t="shared" si="807"/>
        <v>100</v>
      </c>
      <c r="K1023" s="17">
        <v>312</v>
      </c>
      <c r="L1023" s="226"/>
      <c r="M1023" s="335">
        <f t="shared" si="791"/>
        <v>-1</v>
      </c>
      <c r="N1023" s="329">
        <f t="shared" si="761"/>
        <v>-100</v>
      </c>
    </row>
    <row r="1024" spans="1:14" ht="14.1" customHeight="1">
      <c r="A1024" s="32"/>
      <c r="B1024" s="33">
        <v>5525</v>
      </c>
      <c r="C1024" s="34" t="s">
        <v>510</v>
      </c>
      <c r="D1024" s="52">
        <v>0</v>
      </c>
      <c r="E1024" s="17">
        <v>168</v>
      </c>
      <c r="F1024" s="226">
        <v>0</v>
      </c>
      <c r="G1024" s="17"/>
      <c r="H1024" s="17">
        <f t="shared" si="806"/>
        <v>0</v>
      </c>
      <c r="I1024" s="17"/>
      <c r="J1024" s="17">
        <f t="shared" si="807"/>
        <v>0</v>
      </c>
      <c r="K1024" s="17"/>
      <c r="L1024" s="226"/>
      <c r="M1024" s="335" t="e">
        <f t="shared" si="791"/>
        <v>#DIV/0!</v>
      </c>
      <c r="N1024" s="329">
        <f t="shared" si="761"/>
        <v>0</v>
      </c>
    </row>
    <row r="1025" spans="1:14" ht="14.1" customHeight="1">
      <c r="A1025" s="32"/>
      <c r="B1025" s="33">
        <v>5532</v>
      </c>
      <c r="C1025" s="34" t="s">
        <v>378</v>
      </c>
      <c r="D1025" s="52"/>
      <c r="E1025" s="95"/>
      <c r="F1025" s="226"/>
      <c r="G1025" s="17"/>
      <c r="H1025" s="17"/>
      <c r="I1025" s="17">
        <v>248</v>
      </c>
      <c r="J1025" s="17">
        <f t="shared" si="807"/>
        <v>248</v>
      </c>
      <c r="K1025" s="17">
        <v>247.95</v>
      </c>
      <c r="L1025" s="226"/>
      <c r="M1025" s="335">
        <f t="shared" si="791"/>
        <v>-1</v>
      </c>
      <c r="N1025" s="329">
        <f t="shared" si="761"/>
        <v>-248</v>
      </c>
    </row>
    <row r="1026" spans="1:14" ht="14.1" customHeight="1">
      <c r="A1026" s="32"/>
      <c r="B1026" s="33" t="s">
        <v>305</v>
      </c>
      <c r="C1026" s="34" t="s">
        <v>348</v>
      </c>
      <c r="D1026" s="52"/>
      <c r="E1026" s="95">
        <v>366</v>
      </c>
      <c r="F1026" s="226">
        <v>0</v>
      </c>
      <c r="G1026" s="17"/>
      <c r="H1026" s="17">
        <f t="shared" si="806"/>
        <v>0</v>
      </c>
      <c r="I1026" s="17"/>
      <c r="J1026" s="17">
        <f t="shared" si="807"/>
        <v>0</v>
      </c>
      <c r="K1026" s="17"/>
      <c r="L1026" s="226">
        <v>500</v>
      </c>
      <c r="M1026" s="335" t="e">
        <f t="shared" si="791"/>
        <v>#DIV/0!</v>
      </c>
      <c r="N1026" s="329">
        <f t="shared" si="761"/>
        <v>500</v>
      </c>
    </row>
    <row r="1027" spans="1:14" ht="14.1" customHeight="1">
      <c r="A1027" s="28" t="s">
        <v>557</v>
      </c>
      <c r="B1027" s="29">
        <v>9</v>
      </c>
      <c r="C1027" s="30" t="s">
        <v>558</v>
      </c>
      <c r="D1027" s="44">
        <v>11738872</v>
      </c>
      <c r="E1027" s="42">
        <v>13445942.630000001</v>
      </c>
      <c r="F1027" s="42">
        <f t="shared" ref="F1027:K1027" si="808">+F1033+F1060+F1086+F1112+F1139+F1143+F1169+F1194+F1221+F1227+F1229+F1256+F1262+F1264+F1266+F1293+F1300+F1302+F1330+F1336+F1338+F1344+F1346+F1375+F1377+F1387+F1406+F1409+F1422+F1436+F1438+F1451+F1467+F1487+F1496+F1506+F1523+F1525+F1540</f>
        <v>16228867</v>
      </c>
      <c r="G1027" s="42">
        <f t="shared" si="808"/>
        <v>130962</v>
      </c>
      <c r="H1027" s="42">
        <f t="shared" si="808"/>
        <v>16356829</v>
      </c>
      <c r="I1027" s="42">
        <f t="shared" si="808"/>
        <v>67941</v>
      </c>
      <c r="J1027" s="42">
        <f t="shared" si="808"/>
        <v>16424770</v>
      </c>
      <c r="K1027" s="42">
        <f t="shared" si="808"/>
        <v>11820935.83</v>
      </c>
      <c r="L1027" s="42">
        <f t="shared" ref="L1027" si="809">+L1033+L1060+L1086+L1112+L1139+L1143+L1169+L1194+L1221+L1227+L1229+L1256+L1262+L1264+L1266+L1293+L1300+L1302+L1330+L1336+L1338+L1344+L1346+L1375+L1377+L1387+L1406+L1409+L1422+L1436+L1438+L1451+L1467+L1487+L1496+L1506+L1523+L1525+L1540</f>
        <v>17578700</v>
      </c>
      <c r="M1027" s="335">
        <f t="shared" si="791"/>
        <v>7.0255473897046963E-2</v>
      </c>
      <c r="N1027" s="330">
        <f t="shared" si="761"/>
        <v>1153930</v>
      </c>
    </row>
    <row r="1028" spans="1:14" ht="12.6">
      <c r="A1028" s="54"/>
      <c r="B1028" s="54"/>
      <c r="C1028" s="54" t="s">
        <v>559</v>
      </c>
      <c r="D1028" s="54"/>
      <c r="E1028" s="54">
        <v>13445942.629999999</v>
      </c>
      <c r="F1028" s="54">
        <f t="shared" ref="F1028:G1028" si="810">F1030+F1031+F1029+F1032</f>
        <v>16218167</v>
      </c>
      <c r="G1028" s="54">
        <f t="shared" si="810"/>
        <v>130962</v>
      </c>
      <c r="H1028" s="54">
        <f>H1030+H1031+H1029+H1032</f>
        <v>16356829</v>
      </c>
      <c r="I1028" s="54">
        <f t="shared" ref="I1028" si="811">I1030+I1031+I1029+I1032</f>
        <v>67941</v>
      </c>
      <c r="J1028" s="54">
        <f>J1030+J1031+J1029+J1032</f>
        <v>16424770</v>
      </c>
      <c r="K1028" s="54">
        <f>K1030+K1031+K1029+K1032</f>
        <v>11820935.83</v>
      </c>
      <c r="L1028" s="54">
        <f t="shared" ref="L1028" si="812">L1030+L1031+L1029+L1032</f>
        <v>17578700</v>
      </c>
      <c r="M1028" s="335">
        <f t="shared" si="791"/>
        <v>7.0255473897046963E-2</v>
      </c>
      <c r="N1028" s="330">
        <f t="shared" si="761"/>
        <v>1153930</v>
      </c>
    </row>
    <row r="1029" spans="1:14" ht="14.1" customHeight="1">
      <c r="A1029" s="141"/>
      <c r="B1029" s="141">
        <v>45</v>
      </c>
      <c r="C1029" s="141" t="s">
        <v>560</v>
      </c>
      <c r="D1029" s="141"/>
      <c r="E1029" s="141">
        <v>68940</v>
      </c>
      <c r="F1029" s="141">
        <f t="shared" ref="F1029:K1029" si="813">F1034+F1061+F1113+F1388+F1407+F1410+F1524+F1423</f>
        <v>10356</v>
      </c>
      <c r="G1029" s="141">
        <f t="shared" si="813"/>
        <v>55000</v>
      </c>
      <c r="H1029" s="141">
        <f t="shared" si="813"/>
        <v>65356</v>
      </c>
      <c r="I1029" s="141">
        <f t="shared" si="813"/>
        <v>127</v>
      </c>
      <c r="J1029" s="141">
        <f t="shared" si="813"/>
        <v>65483</v>
      </c>
      <c r="K1029" s="141">
        <f t="shared" si="813"/>
        <v>49356</v>
      </c>
      <c r="L1029" s="141">
        <f>L1034+L1061+L1113+L1388+L1407+L1410+L1524+L1423</f>
        <v>80500</v>
      </c>
      <c r="M1029" s="335">
        <f t="shared" si="791"/>
        <v>0.22932669547821571</v>
      </c>
      <c r="N1029" s="330">
        <f t="shared" si="761"/>
        <v>15017</v>
      </c>
    </row>
    <row r="1030" spans="1:14" ht="14.1" customHeight="1">
      <c r="A1030" s="143"/>
      <c r="B1030" s="143">
        <v>50</v>
      </c>
      <c r="C1030" s="143" t="s">
        <v>561</v>
      </c>
      <c r="D1030" s="143"/>
      <c r="E1030" s="143">
        <v>9463906</v>
      </c>
      <c r="F1030" s="143">
        <f>F1035+F1062+F1087+F1114+F1144+F1170+F1195+F1222+F1228+F1230+F1257+F1263+F1267+F1294+F1301+F1303+F1331+F1337+F1339+F1345+F1347+F1376+F1389+F1411+F1424+F1439+F1452+F1468+F1488+F1497+F1507+F1526</f>
        <v>11686606</v>
      </c>
      <c r="G1030" s="143">
        <f t="shared" ref="G1030:L1030" si="814">G1035+G1062+G1087+G1114+G1144+G1170+G1195+G1222+G1228+G1230+G1257+G1263+G1267+G1294+G1301+G1303+G1331+G1337+G1339+G1345+G1347+G1376+G1389+G1411+G1424+G1439+G1452+G1468+G1488+G1497+G1507+G1526+G1541</f>
        <v>127352</v>
      </c>
      <c r="H1030" s="143">
        <f t="shared" si="814"/>
        <v>11815158</v>
      </c>
      <c r="I1030" s="143">
        <f t="shared" si="814"/>
        <v>-81940</v>
      </c>
      <c r="J1030" s="143">
        <f t="shared" si="814"/>
        <v>11733218</v>
      </c>
      <c r="K1030" s="143">
        <f t="shared" si="814"/>
        <v>8415763</v>
      </c>
      <c r="L1030" s="143">
        <f t="shared" si="814"/>
        <v>12346100</v>
      </c>
      <c r="M1030" s="335">
        <f t="shared" si="791"/>
        <v>5.2234774807729645E-2</v>
      </c>
      <c r="N1030" s="330">
        <f t="shared" ref="N1030:N1093" si="815">L1030-J1030</f>
        <v>612882</v>
      </c>
    </row>
    <row r="1031" spans="1:14" ht="14.1" customHeight="1">
      <c r="A1031" s="137"/>
      <c r="B1031" s="137">
        <v>55</v>
      </c>
      <c r="C1031" s="137" t="s">
        <v>562</v>
      </c>
      <c r="D1031" s="137"/>
      <c r="E1031" s="137">
        <v>3913096.63</v>
      </c>
      <c r="F1031" s="137">
        <f>F1036+F1063+F1088+F1115+F1140+F1145+F1171+F1196+F1223+F1231+F1258+F1265+F1268+F1295+F1304+F1332+F1340+F1348+F1378+F1390+F1408+F1412+F1425+F1437+F1440+F1453+F1469+F1489+F1498+F1508+F1527</f>
        <v>4521205</v>
      </c>
      <c r="G1031" s="137">
        <f>G1036+G1063+G1088+G1115+G1140+G1145+G1171+G1196+G1223+G1231+G1258+G1265+G1268+G1295+G1304+G1332+G1340+G1348+G1378+G1390+G1408+G1412+G1425+G1437+G1440+G1453+G1469+G1489+G1498+G1508+G1527+G1542</f>
        <v>-51390</v>
      </c>
      <c r="H1031" s="137">
        <f>H1036+H1063+H1088+H1115+H1140+H1145+H1171+H1196+H1223+H1231+H1258+H1265+H1268+H1295+H1304+H1332+H1340+H1348+H1378+H1390+H1408+H1412+H1425+H1437+H1440+H1453+H1469+H1489+H1498+H1508+H1527+H1542</f>
        <v>4476315</v>
      </c>
      <c r="I1031" s="137">
        <f>I1036+I1063+I1088+I1115+I1140+I1145+I1171+I1196+I1223+I1231+I1258+I1265+I1268+I1295+I1304+I1332+I1340+I1348+I1378+I1390+I1408+I1412+I1425+I1437+I1440+I1453+I1469+I1489+I1498+I1508+I1527+I1542</f>
        <v>149754</v>
      </c>
      <c r="J1031" s="137">
        <f t="shared" ref="J1031:K1031" si="816">J1036+J1063+J1088+J1115+J1140+J1145+J1171+J1196+J1223+J1231+J1258+J1265+J1268+J1295+J1304+J1332+J1340+J1348+J1378+J1390+J1408+J1412+J1425+J1437+J1440+J1453+J1469+J1489+J1498+J1508+J1527+J1542</f>
        <v>4626069</v>
      </c>
      <c r="K1031" s="137">
        <f t="shared" si="816"/>
        <v>3355816.83</v>
      </c>
      <c r="L1031" s="137">
        <f>L1036+L1063+L1088+L1115+L1140+L1145+L1171+L1196+L1223+L1231+L1258+L1265+L1268+L1295+L1304+L1332+L1340+L1348+L1378+L1390+L1408+L1412+L1425+L1437+L1440+L1453+L1469+L1489+L1498+L1508+L1527+L1542</f>
        <v>5152100</v>
      </c>
      <c r="M1031" s="335">
        <f t="shared" si="791"/>
        <v>0.11371015002154097</v>
      </c>
      <c r="N1031" s="330">
        <f t="shared" si="815"/>
        <v>526031</v>
      </c>
    </row>
    <row r="1032" spans="1:14" ht="14.1" customHeight="1">
      <c r="A1032" s="140"/>
      <c r="B1032" s="140">
        <v>60</v>
      </c>
      <c r="C1032" s="140" t="s">
        <v>563</v>
      </c>
      <c r="D1032" s="140"/>
      <c r="E1032" s="140">
        <v>0</v>
      </c>
      <c r="F1032" s="140">
        <v>0</v>
      </c>
      <c r="G1032" s="140"/>
      <c r="H1032" s="140">
        <v>0</v>
      </c>
      <c r="I1032" s="140"/>
      <c r="J1032" s="140">
        <v>0</v>
      </c>
      <c r="K1032" s="140">
        <v>0</v>
      </c>
      <c r="L1032" s="140">
        <v>0</v>
      </c>
      <c r="M1032" s="335" t="e">
        <f t="shared" si="791"/>
        <v>#DIV/0!</v>
      </c>
      <c r="N1032" s="329">
        <f t="shared" si="815"/>
        <v>0</v>
      </c>
    </row>
    <row r="1033" spans="1:14" ht="14.1" customHeight="1">
      <c r="A1033" s="45" t="s">
        <v>564</v>
      </c>
      <c r="B1033" s="46"/>
      <c r="C1033" s="47" t="s">
        <v>565</v>
      </c>
      <c r="D1033" s="53">
        <v>1718816</v>
      </c>
      <c r="E1033" s="50">
        <v>2008869</v>
      </c>
      <c r="F1033" s="50">
        <f t="shared" ref="F1033" si="817">+F1034+F1035+F1036</f>
        <v>2386408</v>
      </c>
      <c r="G1033" s="50">
        <f t="shared" ref="G1033:H1033" si="818">+G1034+G1035+G1036</f>
        <v>-1457</v>
      </c>
      <c r="H1033" s="50">
        <f t="shared" si="818"/>
        <v>2384951</v>
      </c>
      <c r="I1033" s="50">
        <f t="shared" ref="I1033:J1033" si="819">+I1034+I1035+I1036</f>
        <v>-15041</v>
      </c>
      <c r="J1033" s="50">
        <f t="shared" si="819"/>
        <v>2369910</v>
      </c>
      <c r="K1033" s="50">
        <f t="shared" ref="K1033:L1033" si="820">+K1034+K1035+K1036</f>
        <v>1710805.9</v>
      </c>
      <c r="L1033" s="50">
        <f t="shared" si="820"/>
        <v>2506000</v>
      </c>
      <c r="M1033" s="335">
        <f t="shared" si="791"/>
        <v>5.7424121591115276E-2</v>
      </c>
      <c r="N1033" s="329">
        <f t="shared" si="815"/>
        <v>136090</v>
      </c>
    </row>
    <row r="1034" spans="1:14" ht="14.1" customHeight="1">
      <c r="A1034" s="32" t="s">
        <v>566</v>
      </c>
      <c r="B1034" s="38">
        <v>45</v>
      </c>
      <c r="C1034" s="73" t="s">
        <v>567</v>
      </c>
      <c r="D1034" s="52">
        <v>0</v>
      </c>
      <c r="E1034" s="140">
        <v>0</v>
      </c>
      <c r="F1034" s="140"/>
      <c r="G1034" s="140">
        <f>+F1034+E1034</f>
        <v>0</v>
      </c>
      <c r="H1034" s="140">
        <f>+G1034+F1034</f>
        <v>0</v>
      </c>
      <c r="I1034" s="140">
        <f>+H1034+G1034</f>
        <v>0</v>
      </c>
      <c r="J1034" s="140">
        <f>+I1034+H1034</f>
        <v>0</v>
      </c>
      <c r="K1034" s="140">
        <f>+J1034+I1034</f>
        <v>0</v>
      </c>
      <c r="L1034" s="140"/>
      <c r="M1034" s="335" t="e">
        <f t="shared" si="791"/>
        <v>#DIV/0!</v>
      </c>
      <c r="N1034" s="329">
        <f t="shared" si="815"/>
        <v>0</v>
      </c>
    </row>
    <row r="1035" spans="1:14" ht="14.1" customHeight="1">
      <c r="A1035" s="32"/>
      <c r="B1035" s="38" t="s">
        <v>210</v>
      </c>
      <c r="C1035" s="39" t="s">
        <v>211</v>
      </c>
      <c r="D1035" s="120">
        <v>1194028</v>
      </c>
      <c r="E1035" s="143">
        <v>1372041</v>
      </c>
      <c r="F1035" s="226">
        <v>1652568</v>
      </c>
      <c r="G1035" s="194">
        <f>4993+2250</f>
        <v>7243</v>
      </c>
      <c r="H1035" s="143">
        <f>+F1035+G1035</f>
        <v>1659811</v>
      </c>
      <c r="I1035" s="321">
        <v>-15000</v>
      </c>
      <c r="J1035" s="143">
        <f>+H1035+I1035</f>
        <v>1644811</v>
      </c>
      <c r="K1035" s="143">
        <v>1205504</v>
      </c>
      <c r="L1035" s="225">
        <v>1756000</v>
      </c>
      <c r="M1035" s="335">
        <f t="shared" si="791"/>
        <v>6.7599864057329387E-2</v>
      </c>
      <c r="N1035" s="329">
        <f t="shared" si="815"/>
        <v>111189</v>
      </c>
    </row>
    <row r="1036" spans="1:14" ht="14.1" customHeight="1">
      <c r="A1036" s="32"/>
      <c r="B1036" s="38" t="s">
        <v>212</v>
      </c>
      <c r="C1036" s="39" t="s">
        <v>213</v>
      </c>
      <c r="D1036" s="52">
        <v>524788</v>
      </c>
      <c r="E1036" s="138">
        <v>636828</v>
      </c>
      <c r="F1036" s="138">
        <f t="shared" ref="F1036:K1036" si="821">+F1037+F1038+F1039+F1051+F1052+F1053+F1054+F1055+F1056+F1057+F1059</f>
        <v>733840</v>
      </c>
      <c r="G1036" s="138">
        <f t="shared" si="821"/>
        <v>-8700</v>
      </c>
      <c r="H1036" s="138">
        <f t="shared" si="821"/>
        <v>725140</v>
      </c>
      <c r="I1036" s="138">
        <f t="shared" si="821"/>
        <v>-41</v>
      </c>
      <c r="J1036" s="138">
        <f t="shared" si="821"/>
        <v>725099</v>
      </c>
      <c r="K1036" s="138">
        <f t="shared" si="821"/>
        <v>505301.9</v>
      </c>
      <c r="L1036" s="138">
        <f t="shared" ref="L1036" si="822">+L1037+L1038+L1039+L1051+L1052+L1053+L1054+L1055+L1056+L1057+L1059</f>
        <v>750000</v>
      </c>
      <c r="M1036" s="335">
        <f t="shared" si="791"/>
        <v>3.434151750312716E-2</v>
      </c>
      <c r="N1036" s="329">
        <f t="shared" si="815"/>
        <v>24901</v>
      </c>
    </row>
    <row r="1037" spans="1:14" ht="14.1" customHeight="1">
      <c r="A1037" s="32"/>
      <c r="B1037" s="33" t="s">
        <v>214</v>
      </c>
      <c r="C1037" s="34" t="s">
        <v>227</v>
      </c>
      <c r="D1037" s="52">
        <v>3590</v>
      </c>
      <c r="E1037" s="17">
        <v>3590</v>
      </c>
      <c r="F1037" s="224">
        <v>5290</v>
      </c>
      <c r="G1037" s="17"/>
      <c r="H1037" s="17">
        <f>+F1037+G1037</f>
        <v>5290</v>
      </c>
      <c r="I1037" s="17"/>
      <c r="J1037" s="17">
        <f>+H1037+I1037</f>
        <v>5290</v>
      </c>
      <c r="K1037" s="17">
        <v>3069</v>
      </c>
      <c r="L1037" s="224">
        <v>4000</v>
      </c>
      <c r="M1037" s="335">
        <f t="shared" si="791"/>
        <v>-0.24385633270321361</v>
      </c>
      <c r="N1037" s="329">
        <f t="shared" si="815"/>
        <v>-1290</v>
      </c>
    </row>
    <row r="1038" spans="1:14" ht="14.1" customHeight="1">
      <c r="A1038" s="32"/>
      <c r="B1038" s="33" t="s">
        <v>217</v>
      </c>
      <c r="C1038" s="58" t="s">
        <v>230</v>
      </c>
      <c r="D1038" s="52">
        <v>3000</v>
      </c>
      <c r="E1038" s="17">
        <v>3300</v>
      </c>
      <c r="F1038" s="224">
        <v>4660</v>
      </c>
      <c r="G1038" s="17"/>
      <c r="H1038" s="17">
        <f>+F1038+G1038</f>
        <v>4660</v>
      </c>
      <c r="I1038" s="17"/>
      <c r="J1038" s="17">
        <f>+H1038+I1038</f>
        <v>4660</v>
      </c>
      <c r="K1038" s="17">
        <v>3203</v>
      </c>
      <c r="L1038" s="224">
        <v>4700</v>
      </c>
      <c r="M1038" s="335">
        <f t="shared" si="791"/>
        <v>8.5836909871244635E-3</v>
      </c>
      <c r="N1038" s="329">
        <f t="shared" si="815"/>
        <v>40</v>
      </c>
    </row>
    <row r="1039" spans="1:14" ht="14.1" customHeight="1">
      <c r="A1039" s="32"/>
      <c r="B1039" s="33" t="s">
        <v>231</v>
      </c>
      <c r="C1039" s="58" t="s">
        <v>219</v>
      </c>
      <c r="D1039" s="52">
        <v>417638</v>
      </c>
      <c r="E1039" s="95">
        <v>444140</v>
      </c>
      <c r="F1039" s="224">
        <f t="shared" ref="F1039:K1039" si="823">SUM(F1040:F1050)</f>
        <v>499490</v>
      </c>
      <c r="G1039" s="17">
        <f t="shared" si="823"/>
        <v>-4000</v>
      </c>
      <c r="H1039" s="95">
        <f t="shared" si="823"/>
        <v>495490</v>
      </c>
      <c r="I1039" s="17">
        <f t="shared" si="823"/>
        <v>-5091</v>
      </c>
      <c r="J1039" s="95">
        <f t="shared" si="823"/>
        <v>490399</v>
      </c>
      <c r="K1039" s="95">
        <f t="shared" si="823"/>
        <v>350351.9</v>
      </c>
      <c r="L1039" s="224">
        <f>SUM(L1040:L1050)</f>
        <v>507600</v>
      </c>
      <c r="M1039" s="335">
        <f t="shared" si="791"/>
        <v>3.5075520137683808E-2</v>
      </c>
      <c r="N1039" s="329">
        <f t="shared" si="815"/>
        <v>17201</v>
      </c>
    </row>
    <row r="1040" spans="1:14" s="150" customFormat="1" ht="14.1" customHeight="1">
      <c r="A1040" s="157"/>
      <c r="B1040" s="158"/>
      <c r="C1040" s="146" t="s">
        <v>407</v>
      </c>
      <c r="D1040" s="151">
        <v>26000</v>
      </c>
      <c r="E1040" s="149">
        <v>33000</v>
      </c>
      <c r="F1040" s="230">
        <v>70000</v>
      </c>
      <c r="G1040" s="147">
        <v>-50000</v>
      </c>
      <c r="H1040" s="149">
        <f t="shared" ref="H1040:H1059" si="824">+G1040+F1040</f>
        <v>20000</v>
      </c>
      <c r="I1040" s="147"/>
      <c r="J1040" s="149">
        <f t="shared" ref="J1040:J1059" si="825">+I1040+H1040</f>
        <v>20000</v>
      </c>
      <c r="K1040" s="147">
        <v>13293</v>
      </c>
      <c r="L1040" s="230">
        <v>40000</v>
      </c>
      <c r="M1040" s="335">
        <f t="shared" si="791"/>
        <v>1</v>
      </c>
      <c r="N1040" s="329">
        <f t="shared" si="815"/>
        <v>20000</v>
      </c>
    </row>
    <row r="1041" spans="1:14" s="150" customFormat="1" ht="14.1" customHeight="1">
      <c r="A1041" s="157"/>
      <c r="B1041" s="158"/>
      <c r="C1041" s="146" t="s">
        <v>568</v>
      </c>
      <c r="D1041" s="151">
        <v>28200</v>
      </c>
      <c r="E1041" s="149">
        <v>36000</v>
      </c>
      <c r="F1041" s="230">
        <v>45000</v>
      </c>
      <c r="G1041" s="147">
        <v>5000</v>
      </c>
      <c r="H1041" s="149">
        <f t="shared" si="824"/>
        <v>50000</v>
      </c>
      <c r="I1041" s="147"/>
      <c r="J1041" s="149">
        <f t="shared" si="825"/>
        <v>50000</v>
      </c>
      <c r="K1041" s="147">
        <v>29846</v>
      </c>
      <c r="L1041" s="230">
        <v>50000</v>
      </c>
      <c r="M1041" s="335">
        <f t="shared" si="791"/>
        <v>0</v>
      </c>
      <c r="N1041" s="329">
        <f t="shared" si="815"/>
        <v>0</v>
      </c>
    </row>
    <row r="1042" spans="1:14" s="150" customFormat="1" ht="14.1" customHeight="1">
      <c r="A1042" s="157"/>
      <c r="B1042" s="158"/>
      <c r="C1042" s="146" t="s">
        <v>569</v>
      </c>
      <c r="D1042" s="151">
        <v>5446</v>
      </c>
      <c r="E1042" s="149">
        <v>6500</v>
      </c>
      <c r="F1042" s="230">
        <v>4410</v>
      </c>
      <c r="G1042" s="147"/>
      <c r="H1042" s="149">
        <f t="shared" si="824"/>
        <v>4410</v>
      </c>
      <c r="I1042" s="147"/>
      <c r="J1042" s="149">
        <f t="shared" si="825"/>
        <v>4410</v>
      </c>
      <c r="K1042" s="147">
        <v>5011</v>
      </c>
      <c r="L1042" s="230">
        <v>5000</v>
      </c>
      <c r="M1042" s="335">
        <f t="shared" si="791"/>
        <v>0.13378684807256236</v>
      </c>
      <c r="N1042" s="329">
        <f t="shared" si="815"/>
        <v>590</v>
      </c>
    </row>
    <row r="1043" spans="1:14" s="150" customFormat="1" ht="14.1" customHeight="1">
      <c r="A1043" s="157"/>
      <c r="B1043" s="158"/>
      <c r="C1043" s="146" t="s">
        <v>410</v>
      </c>
      <c r="D1043" s="151">
        <v>13000</v>
      </c>
      <c r="E1043" s="149">
        <v>13000</v>
      </c>
      <c r="F1043" s="230">
        <v>14000</v>
      </c>
      <c r="G1043" s="242">
        <v>3000</v>
      </c>
      <c r="H1043" s="149">
        <f t="shared" si="824"/>
        <v>17000</v>
      </c>
      <c r="I1043" s="147"/>
      <c r="J1043" s="149">
        <f t="shared" si="825"/>
        <v>17000</v>
      </c>
      <c r="K1043" s="147">
        <v>11761</v>
      </c>
      <c r="L1043" s="230">
        <v>17500</v>
      </c>
      <c r="M1043" s="335">
        <f t="shared" si="791"/>
        <v>2.9411764705882353E-2</v>
      </c>
      <c r="N1043" s="329">
        <f t="shared" si="815"/>
        <v>500</v>
      </c>
    </row>
    <row r="1044" spans="1:14" s="150" customFormat="1" ht="14.1" customHeight="1">
      <c r="A1044" s="157"/>
      <c r="B1044" s="158"/>
      <c r="C1044" s="146" t="s">
        <v>411</v>
      </c>
      <c r="D1044" s="151">
        <v>20000</v>
      </c>
      <c r="E1044" s="149">
        <v>24200</v>
      </c>
      <c r="F1044" s="230">
        <v>15300</v>
      </c>
      <c r="G1044" s="242">
        <v>6000</v>
      </c>
      <c r="H1044" s="149">
        <f t="shared" si="824"/>
        <v>21300</v>
      </c>
      <c r="I1044" s="147"/>
      <c r="J1044" s="149">
        <f t="shared" si="825"/>
        <v>21300</v>
      </c>
      <c r="K1044" s="147">
        <v>13675</v>
      </c>
      <c r="L1044" s="230">
        <v>18000</v>
      </c>
      <c r="M1044" s="335">
        <f t="shared" si="791"/>
        <v>-0.15492957746478872</v>
      </c>
      <c r="N1044" s="329">
        <f t="shared" si="815"/>
        <v>-3300</v>
      </c>
    </row>
    <row r="1045" spans="1:14" s="150" customFormat="1" ht="14.1" customHeight="1">
      <c r="A1045" s="157"/>
      <c r="B1045" s="158"/>
      <c r="C1045" s="146" t="s">
        <v>570</v>
      </c>
      <c r="D1045" s="151">
        <v>3000</v>
      </c>
      <c r="E1045" s="149">
        <v>3300</v>
      </c>
      <c r="F1045" s="230">
        <v>5000</v>
      </c>
      <c r="G1045" s="147"/>
      <c r="H1045" s="149">
        <f t="shared" si="824"/>
        <v>5000</v>
      </c>
      <c r="I1045" s="147"/>
      <c r="J1045" s="149">
        <f t="shared" si="825"/>
        <v>5000</v>
      </c>
      <c r="K1045" s="147">
        <v>2453</v>
      </c>
      <c r="L1045" s="230">
        <v>6000</v>
      </c>
      <c r="M1045" s="335">
        <f t="shared" si="791"/>
        <v>0.2</v>
      </c>
      <c r="N1045" s="329">
        <f t="shared" si="815"/>
        <v>1000</v>
      </c>
    </row>
    <row r="1046" spans="1:14" s="150" customFormat="1" ht="14.1" customHeight="1">
      <c r="A1046" s="157"/>
      <c r="B1046" s="158"/>
      <c r="C1046" s="146" t="s">
        <v>414</v>
      </c>
      <c r="D1046" s="151">
        <v>0</v>
      </c>
      <c r="E1046" s="149">
        <v>0</v>
      </c>
      <c r="F1046" s="230"/>
      <c r="G1046" s="147"/>
      <c r="H1046" s="149">
        <f t="shared" si="824"/>
        <v>0</v>
      </c>
      <c r="I1046" s="147"/>
      <c r="J1046" s="149">
        <f t="shared" si="825"/>
        <v>0</v>
      </c>
      <c r="K1046" s="147"/>
      <c r="L1046" s="230">
        <v>1000</v>
      </c>
      <c r="M1046" s="335" t="e">
        <f t="shared" si="791"/>
        <v>#DIV/0!</v>
      </c>
      <c r="N1046" s="329">
        <f t="shared" si="815"/>
        <v>1000</v>
      </c>
    </row>
    <row r="1047" spans="1:14" s="150" customFormat="1" ht="14.1" customHeight="1">
      <c r="A1047" s="157"/>
      <c r="B1047" s="158"/>
      <c r="C1047" s="146" t="s">
        <v>571</v>
      </c>
      <c r="D1047" s="151">
        <v>0</v>
      </c>
      <c r="E1047" s="149">
        <v>0</v>
      </c>
      <c r="F1047" s="230"/>
      <c r="G1047" s="147"/>
      <c r="H1047" s="149">
        <f t="shared" si="824"/>
        <v>0</v>
      </c>
      <c r="I1047" s="147"/>
      <c r="J1047" s="149">
        <f t="shared" si="825"/>
        <v>0</v>
      </c>
      <c r="K1047" s="147"/>
      <c r="L1047" s="230"/>
      <c r="M1047" s="335" t="e">
        <f t="shared" si="791"/>
        <v>#DIV/0!</v>
      </c>
      <c r="N1047" s="329">
        <f t="shared" si="815"/>
        <v>0</v>
      </c>
    </row>
    <row r="1048" spans="1:14" s="150" customFormat="1" ht="14.1" customHeight="1">
      <c r="A1048" s="157"/>
      <c r="B1048" s="158"/>
      <c r="C1048" s="146" t="s">
        <v>572</v>
      </c>
      <c r="D1048" s="151">
        <v>1082</v>
      </c>
      <c r="E1048" s="149">
        <v>0</v>
      </c>
      <c r="F1048" s="230"/>
      <c r="G1048" s="147"/>
      <c r="H1048" s="149">
        <f t="shared" si="824"/>
        <v>0</v>
      </c>
      <c r="I1048" s="147"/>
      <c r="J1048" s="149">
        <f t="shared" si="825"/>
        <v>0</v>
      </c>
      <c r="K1048" s="147"/>
      <c r="L1048" s="230"/>
      <c r="M1048" s="335" t="e">
        <f t="shared" si="791"/>
        <v>#DIV/0!</v>
      </c>
      <c r="N1048" s="329">
        <f t="shared" si="815"/>
        <v>0</v>
      </c>
    </row>
    <row r="1049" spans="1:14" s="150" customFormat="1" ht="14.1" customHeight="1">
      <c r="A1049" s="157"/>
      <c r="B1049" s="158"/>
      <c r="C1049" s="146" t="s">
        <v>444</v>
      </c>
      <c r="D1049" s="151">
        <v>0</v>
      </c>
      <c r="E1049" s="149">
        <v>0</v>
      </c>
      <c r="F1049" s="230"/>
      <c r="G1049" s="147"/>
      <c r="H1049" s="149">
        <f t="shared" si="824"/>
        <v>0</v>
      </c>
      <c r="I1049" s="147"/>
      <c r="J1049" s="149">
        <f t="shared" si="825"/>
        <v>0</v>
      </c>
      <c r="K1049" s="147">
        <v>65.900000000000006</v>
      </c>
      <c r="L1049" s="230"/>
      <c r="M1049" s="335" t="e">
        <f t="shared" si="791"/>
        <v>#DIV/0!</v>
      </c>
      <c r="N1049" s="329">
        <f t="shared" si="815"/>
        <v>0</v>
      </c>
    </row>
    <row r="1050" spans="1:14" s="150" customFormat="1" ht="14.1" customHeight="1">
      <c r="A1050" s="157"/>
      <c r="B1050" s="158"/>
      <c r="C1050" s="146" t="s">
        <v>413</v>
      </c>
      <c r="D1050" s="151">
        <v>320910</v>
      </c>
      <c r="E1050" s="149">
        <v>328140</v>
      </c>
      <c r="F1050" s="230">
        <v>345780</v>
      </c>
      <c r="G1050" s="242">
        <v>32000</v>
      </c>
      <c r="H1050" s="149">
        <f t="shared" si="824"/>
        <v>377780</v>
      </c>
      <c r="I1050" s="274">
        <f>29520+50260+292909-377780</f>
        <v>-5091</v>
      </c>
      <c r="J1050" s="149">
        <f t="shared" si="825"/>
        <v>372689</v>
      </c>
      <c r="K1050" s="147">
        <v>274247</v>
      </c>
      <c r="L1050" s="230">
        <f>51100+319000</f>
        <v>370100</v>
      </c>
      <c r="M1050" s="335">
        <f t="shared" si="791"/>
        <v>-6.9468108798488824E-3</v>
      </c>
      <c r="N1050" s="329">
        <f t="shared" si="815"/>
        <v>-2589</v>
      </c>
    </row>
    <row r="1051" spans="1:14" ht="14.1" customHeight="1">
      <c r="A1051" s="32"/>
      <c r="B1051" s="33" t="s">
        <v>255</v>
      </c>
      <c r="C1051" s="34" t="s">
        <v>221</v>
      </c>
      <c r="D1051" s="52">
        <v>4600</v>
      </c>
      <c r="E1051" s="17">
        <v>14678</v>
      </c>
      <c r="F1051" s="224">
        <v>11000</v>
      </c>
      <c r="G1051" s="17"/>
      <c r="H1051" s="17">
        <f t="shared" si="824"/>
        <v>11000</v>
      </c>
      <c r="I1051" s="255">
        <v>720</v>
      </c>
      <c r="J1051" s="95">
        <f t="shared" si="825"/>
        <v>11720</v>
      </c>
      <c r="K1051" s="17">
        <v>4619</v>
      </c>
      <c r="L1051" s="224">
        <v>11500</v>
      </c>
      <c r="M1051" s="335">
        <f t="shared" si="791"/>
        <v>-1.877133105802048E-2</v>
      </c>
      <c r="N1051" s="329">
        <f t="shared" si="815"/>
        <v>-220</v>
      </c>
    </row>
    <row r="1052" spans="1:14" ht="14.1" customHeight="1">
      <c r="A1052" s="32"/>
      <c r="B1052" s="33" t="s">
        <v>256</v>
      </c>
      <c r="C1052" s="34" t="s">
        <v>257</v>
      </c>
      <c r="D1052" s="52">
        <v>7900</v>
      </c>
      <c r="E1052" s="17">
        <v>14400</v>
      </c>
      <c r="F1052" s="224">
        <v>8700</v>
      </c>
      <c r="G1052" s="17"/>
      <c r="H1052" s="17">
        <f t="shared" si="824"/>
        <v>8700</v>
      </c>
      <c r="I1052" s="17"/>
      <c r="J1052" s="95">
        <f t="shared" si="825"/>
        <v>8700</v>
      </c>
      <c r="K1052" s="17">
        <v>1995</v>
      </c>
      <c r="L1052" s="224">
        <v>8600</v>
      </c>
      <c r="M1052" s="335">
        <f t="shared" si="791"/>
        <v>-1.1494252873563218E-2</v>
      </c>
      <c r="N1052" s="329">
        <f t="shared" si="815"/>
        <v>-100</v>
      </c>
    </row>
    <row r="1053" spans="1:14" ht="14.1" customHeight="1">
      <c r="A1053" s="32"/>
      <c r="B1053" s="33">
        <v>5516</v>
      </c>
      <c r="C1053" s="34" t="s">
        <v>573</v>
      </c>
      <c r="D1053" s="52">
        <v>0</v>
      </c>
      <c r="E1053" s="17">
        <v>0</v>
      </c>
      <c r="F1053" s="224">
        <v>17700</v>
      </c>
      <c r="G1053" s="17">
        <v>-5000</v>
      </c>
      <c r="H1053" s="17">
        <f t="shared" si="824"/>
        <v>12700</v>
      </c>
      <c r="I1053" s="17"/>
      <c r="J1053" s="95">
        <f t="shared" si="825"/>
        <v>12700</v>
      </c>
      <c r="K1053" s="17">
        <v>11809</v>
      </c>
      <c r="L1053" s="224">
        <v>16000</v>
      </c>
      <c r="M1053" s="335">
        <f t="shared" si="791"/>
        <v>0.25984251968503935</v>
      </c>
      <c r="N1053" s="329">
        <f t="shared" si="815"/>
        <v>3300</v>
      </c>
    </row>
    <row r="1054" spans="1:14" ht="14.1" customHeight="1">
      <c r="A1054" s="32"/>
      <c r="B1054" s="33" t="s">
        <v>574</v>
      </c>
      <c r="C1054" s="34" t="s">
        <v>575</v>
      </c>
      <c r="D1054" s="52">
        <v>50200</v>
      </c>
      <c r="E1054" s="17">
        <v>120200</v>
      </c>
      <c r="F1054" s="224">
        <v>140000</v>
      </c>
      <c r="G1054" s="17"/>
      <c r="H1054" s="17">
        <f t="shared" si="824"/>
        <v>140000</v>
      </c>
      <c r="I1054" s="17"/>
      <c r="J1054" s="95">
        <f t="shared" si="825"/>
        <v>140000</v>
      </c>
      <c r="K1054" s="17">
        <v>97823</v>
      </c>
      <c r="L1054" s="224">
        <v>150000</v>
      </c>
      <c r="M1054" s="335">
        <f t="shared" si="791"/>
        <v>7.1428571428571425E-2</v>
      </c>
      <c r="N1054" s="329">
        <f t="shared" si="815"/>
        <v>10000</v>
      </c>
    </row>
    <row r="1055" spans="1:14" ht="14.1" customHeight="1">
      <c r="A1055" s="32"/>
      <c r="B1055" s="33" t="s">
        <v>261</v>
      </c>
      <c r="C1055" s="34" t="s">
        <v>262</v>
      </c>
      <c r="D1055" s="52">
        <v>1500</v>
      </c>
      <c r="E1055" s="17">
        <v>1200</v>
      </c>
      <c r="F1055" s="224">
        <v>1200</v>
      </c>
      <c r="G1055" s="17"/>
      <c r="H1055" s="17">
        <f t="shared" si="824"/>
        <v>1200</v>
      </c>
      <c r="I1055" s="17"/>
      <c r="J1055" s="95">
        <f t="shared" si="825"/>
        <v>1200</v>
      </c>
      <c r="K1055" s="17">
        <v>601</v>
      </c>
      <c r="L1055" s="224">
        <v>1000</v>
      </c>
      <c r="M1055" s="335">
        <f t="shared" si="791"/>
        <v>-0.16666666666666666</v>
      </c>
      <c r="N1055" s="329">
        <f t="shared" si="815"/>
        <v>-200</v>
      </c>
    </row>
    <row r="1056" spans="1:14" ht="14.1" customHeight="1">
      <c r="A1056" s="32"/>
      <c r="B1056" s="33" t="s">
        <v>576</v>
      </c>
      <c r="C1056" s="34" t="s">
        <v>577</v>
      </c>
      <c r="D1056" s="52">
        <v>30860</v>
      </c>
      <c r="E1056" s="17">
        <v>28840</v>
      </c>
      <c r="F1056" s="224">
        <v>39000</v>
      </c>
      <c r="G1056" s="17"/>
      <c r="H1056" s="17">
        <f t="shared" si="824"/>
        <v>39000</v>
      </c>
      <c r="I1056" s="255">
        <f>2430+1500</f>
        <v>3930</v>
      </c>
      <c r="J1056" s="95">
        <f t="shared" si="825"/>
        <v>42930</v>
      </c>
      <c r="K1056" s="17">
        <v>29946</v>
      </c>
      <c r="L1056" s="224">
        <v>39000</v>
      </c>
      <c r="M1056" s="335">
        <f t="shared" si="791"/>
        <v>-9.1544374563242492E-2</v>
      </c>
      <c r="N1056" s="329">
        <f t="shared" si="815"/>
        <v>-3930</v>
      </c>
    </row>
    <row r="1057" spans="1:14" ht="14.1" customHeight="1">
      <c r="A1057" s="32"/>
      <c r="B1057" s="33" t="s">
        <v>263</v>
      </c>
      <c r="C1057" s="34" t="s">
        <v>264</v>
      </c>
      <c r="D1057" s="52">
        <v>2500</v>
      </c>
      <c r="E1057" s="17">
        <v>2500</v>
      </c>
      <c r="F1057" s="224">
        <v>3500</v>
      </c>
      <c r="G1057" s="17"/>
      <c r="H1057" s="17">
        <f t="shared" si="824"/>
        <v>3500</v>
      </c>
      <c r="I1057" s="255">
        <v>400</v>
      </c>
      <c r="J1057" s="95">
        <f t="shared" si="825"/>
        <v>3900</v>
      </c>
      <c r="K1057" s="17">
        <v>400</v>
      </c>
      <c r="L1057" s="224">
        <v>4000</v>
      </c>
      <c r="M1057" s="335">
        <f t="shared" si="791"/>
        <v>2.564102564102564E-2</v>
      </c>
      <c r="N1057" s="329">
        <f t="shared" si="815"/>
        <v>100</v>
      </c>
    </row>
    <row r="1058" spans="1:14" ht="14.1" customHeight="1">
      <c r="A1058" s="32"/>
      <c r="B1058" s="33">
        <v>5532</v>
      </c>
      <c r="C1058" s="34" t="s">
        <v>378</v>
      </c>
      <c r="D1058" s="52"/>
      <c r="E1058" s="17">
        <v>0</v>
      </c>
      <c r="F1058" s="224"/>
      <c r="G1058" s="17"/>
      <c r="H1058" s="17">
        <f t="shared" si="824"/>
        <v>0</v>
      </c>
      <c r="I1058" s="17"/>
      <c r="J1058" s="95">
        <f t="shared" si="825"/>
        <v>0</v>
      </c>
      <c r="K1058" s="17"/>
      <c r="L1058" s="224"/>
      <c r="M1058" s="335" t="e">
        <f t="shared" si="791"/>
        <v>#DIV/0!</v>
      </c>
      <c r="N1058" s="329">
        <f t="shared" si="815"/>
        <v>0</v>
      </c>
    </row>
    <row r="1059" spans="1:14" ht="14.1" customHeight="1">
      <c r="A1059" s="32"/>
      <c r="B1059" s="33" t="s">
        <v>305</v>
      </c>
      <c r="C1059" s="34" t="s">
        <v>348</v>
      </c>
      <c r="D1059" s="52">
        <v>3000</v>
      </c>
      <c r="E1059" s="17">
        <v>3980</v>
      </c>
      <c r="F1059" s="224">
        <v>3300</v>
      </c>
      <c r="G1059" s="17">
        <v>300</v>
      </c>
      <c r="H1059" s="17">
        <f t="shared" si="824"/>
        <v>3600</v>
      </c>
      <c r="I1059" s="17"/>
      <c r="J1059" s="95">
        <f t="shared" si="825"/>
        <v>3600</v>
      </c>
      <c r="K1059" s="17">
        <v>1485</v>
      </c>
      <c r="L1059" s="224">
        <v>3600</v>
      </c>
      <c r="M1059" s="335">
        <f t="shared" si="791"/>
        <v>0</v>
      </c>
      <c r="N1059" s="329">
        <f t="shared" si="815"/>
        <v>0</v>
      </c>
    </row>
    <row r="1060" spans="1:14" ht="14.1" customHeight="1">
      <c r="A1060" s="45" t="s">
        <v>578</v>
      </c>
      <c r="B1060" s="46"/>
      <c r="C1060" s="47" t="s">
        <v>579</v>
      </c>
      <c r="D1060" s="53">
        <v>648896</v>
      </c>
      <c r="E1060" s="50">
        <v>741693</v>
      </c>
      <c r="F1060" s="50">
        <f t="shared" ref="F1060" si="826">+F1061+F1062+F1063</f>
        <v>968845</v>
      </c>
      <c r="G1060" s="50">
        <f t="shared" ref="G1060:H1060" si="827">+G1061+G1062+G1063</f>
        <v>2281</v>
      </c>
      <c r="H1060" s="50">
        <f t="shared" si="827"/>
        <v>971126</v>
      </c>
      <c r="I1060" s="50">
        <f t="shared" ref="I1060:J1060" si="828">+I1061+I1062+I1063</f>
        <v>6800</v>
      </c>
      <c r="J1060" s="50">
        <f t="shared" si="828"/>
        <v>977926</v>
      </c>
      <c r="K1060" s="50">
        <f t="shared" ref="K1060:L1060" si="829">+K1061+K1062+K1063</f>
        <v>709619</v>
      </c>
      <c r="L1060" s="50">
        <f t="shared" si="829"/>
        <v>1018500</v>
      </c>
      <c r="M1060" s="335">
        <f t="shared" si="791"/>
        <v>4.1489846880029775E-2</v>
      </c>
      <c r="N1060" s="329">
        <f t="shared" si="815"/>
        <v>40574</v>
      </c>
    </row>
    <row r="1061" spans="1:14" ht="14.1" customHeight="1">
      <c r="A1061" s="32"/>
      <c r="B1061" s="38">
        <v>4500</v>
      </c>
      <c r="C1061" s="39" t="s">
        <v>567</v>
      </c>
      <c r="D1061" s="52">
        <v>0</v>
      </c>
      <c r="E1061" s="17">
        <v>0</v>
      </c>
      <c r="F1061" s="226"/>
      <c r="G1061" s="17">
        <f>+E1061+F1061</f>
        <v>0</v>
      </c>
      <c r="H1061" s="17">
        <f>+F1061+G1061</f>
        <v>0</v>
      </c>
      <c r="I1061" s="17">
        <f>+G1061+H1061</f>
        <v>0</v>
      </c>
      <c r="J1061" s="17">
        <f>+H1061+I1061</f>
        <v>0</v>
      </c>
      <c r="K1061" s="17">
        <f>+I1061+J1061</f>
        <v>0</v>
      </c>
      <c r="L1061" s="226"/>
      <c r="M1061" s="335" t="e">
        <f t="shared" si="791"/>
        <v>#DIV/0!</v>
      </c>
      <c r="N1061" s="329">
        <f t="shared" si="815"/>
        <v>0</v>
      </c>
    </row>
    <row r="1062" spans="1:14" ht="14.1" customHeight="1">
      <c r="A1062" s="32"/>
      <c r="B1062" s="38" t="s">
        <v>210</v>
      </c>
      <c r="C1062" s="39" t="s">
        <v>211</v>
      </c>
      <c r="D1062" s="122">
        <v>492800</v>
      </c>
      <c r="E1062" s="143">
        <v>580641</v>
      </c>
      <c r="F1062" s="226">
        <v>784255</v>
      </c>
      <c r="G1062" s="143"/>
      <c r="H1062" s="143">
        <f>+F1062+G1062</f>
        <v>784255</v>
      </c>
      <c r="I1062" s="152">
        <v>0</v>
      </c>
      <c r="J1062" s="143">
        <f>+H1062+I1062</f>
        <v>784255</v>
      </c>
      <c r="K1062" s="143">
        <v>585491</v>
      </c>
      <c r="L1062" s="225">
        <v>825500</v>
      </c>
      <c r="M1062" s="335">
        <f t="shared" si="791"/>
        <v>5.2591312774543993E-2</v>
      </c>
      <c r="N1062" s="329">
        <f t="shared" si="815"/>
        <v>41245</v>
      </c>
    </row>
    <row r="1063" spans="1:14" ht="14.1" customHeight="1">
      <c r="A1063" s="32"/>
      <c r="B1063" s="38" t="s">
        <v>212</v>
      </c>
      <c r="C1063" s="39" t="s">
        <v>213</v>
      </c>
      <c r="D1063" s="52">
        <v>156096</v>
      </c>
      <c r="E1063" s="138">
        <v>161052</v>
      </c>
      <c r="F1063" s="137">
        <f t="shared" ref="F1063:H1063" si="830">+F1064+F1065+F1066+F1077+F1078+F1079+F1080+F1081+F1082+F1083+F1084+F1085</f>
        <v>184590</v>
      </c>
      <c r="G1063" s="137">
        <f>+G1064+G1065+G1066+G1077+G1078+G1079+G1080+G1081+G1082+G1083+G1084+G1085</f>
        <v>2281</v>
      </c>
      <c r="H1063" s="137">
        <f t="shared" si="830"/>
        <v>186871</v>
      </c>
      <c r="I1063" s="137">
        <f>+I1064+I1065+I1066+I1077+I1078+I1079+I1080+I1081+I1082+I1083+I1084+I1085</f>
        <v>6800</v>
      </c>
      <c r="J1063" s="137">
        <f t="shared" ref="J1063:L1063" si="831">+J1064+J1065+J1066+J1077+J1078+J1079+J1080+J1081+J1082+J1083+J1084+J1085</f>
        <v>193671</v>
      </c>
      <c r="K1063" s="137">
        <f t="shared" si="831"/>
        <v>124128</v>
      </c>
      <c r="L1063" s="137">
        <f t="shared" si="831"/>
        <v>193000</v>
      </c>
      <c r="M1063" s="335">
        <f t="shared" si="791"/>
        <v>-3.4646384848531788E-3</v>
      </c>
      <c r="N1063" s="329">
        <f t="shared" si="815"/>
        <v>-671</v>
      </c>
    </row>
    <row r="1064" spans="1:14" ht="15" customHeight="1">
      <c r="A1064" s="32"/>
      <c r="B1064" s="33" t="s">
        <v>214</v>
      </c>
      <c r="C1064" s="34" t="s">
        <v>327</v>
      </c>
      <c r="D1064" s="52">
        <v>750</v>
      </c>
      <c r="E1064" s="17">
        <v>750</v>
      </c>
      <c r="F1064" s="226">
        <v>900</v>
      </c>
      <c r="G1064" s="17"/>
      <c r="H1064" s="17">
        <f>+F1064+G1064</f>
        <v>900</v>
      </c>
      <c r="I1064" s="17"/>
      <c r="J1064" s="17">
        <f>+H1064+I1064</f>
        <v>900</v>
      </c>
      <c r="K1064" s="17">
        <v>690</v>
      </c>
      <c r="L1064" s="226">
        <v>900</v>
      </c>
      <c r="M1064" s="335">
        <f t="shared" si="791"/>
        <v>0</v>
      </c>
      <c r="N1064" s="329">
        <f t="shared" si="815"/>
        <v>0</v>
      </c>
    </row>
    <row r="1065" spans="1:14" ht="14.1" customHeight="1">
      <c r="A1065" s="32"/>
      <c r="B1065" s="33" t="s">
        <v>217</v>
      </c>
      <c r="C1065" s="34" t="s">
        <v>230</v>
      </c>
      <c r="D1065" s="52">
        <v>2500</v>
      </c>
      <c r="E1065" s="17">
        <v>2500</v>
      </c>
      <c r="F1065" s="226">
        <v>3000</v>
      </c>
      <c r="G1065" s="17"/>
      <c r="H1065" s="17">
        <f>+F1065+G1065</f>
        <v>3000</v>
      </c>
      <c r="I1065" s="17"/>
      <c r="J1065" s="17">
        <f>+H1065+I1065</f>
        <v>3000</v>
      </c>
      <c r="K1065" s="17">
        <v>946</v>
      </c>
      <c r="L1065" s="226">
        <v>3000</v>
      </c>
      <c r="M1065" s="335">
        <f t="shared" si="791"/>
        <v>0</v>
      </c>
      <c r="N1065" s="329">
        <f t="shared" si="815"/>
        <v>0</v>
      </c>
    </row>
    <row r="1066" spans="1:14" ht="14.1" customHeight="1">
      <c r="A1066" s="32"/>
      <c r="B1066" s="33" t="s">
        <v>231</v>
      </c>
      <c r="C1066" s="34" t="s">
        <v>219</v>
      </c>
      <c r="D1066" s="52">
        <v>70696</v>
      </c>
      <c r="E1066" s="95">
        <v>82196</v>
      </c>
      <c r="F1066" s="226">
        <f t="shared" ref="F1066" si="832">SUM(F1067:F1076)</f>
        <v>90820</v>
      </c>
      <c r="G1066" s="17">
        <f t="shared" ref="G1066:H1066" si="833">SUM(G1067:G1076)</f>
        <v>-1000</v>
      </c>
      <c r="H1066" s="17">
        <f t="shared" si="833"/>
        <v>89820</v>
      </c>
      <c r="I1066" s="17">
        <f t="shared" ref="I1066:L1066" si="834">SUM(I1067:I1076)</f>
        <v>0</v>
      </c>
      <c r="J1066" s="17">
        <f t="shared" si="834"/>
        <v>89820</v>
      </c>
      <c r="K1066" s="17">
        <f t="shared" si="834"/>
        <v>62645</v>
      </c>
      <c r="L1066" s="226">
        <f t="shared" si="834"/>
        <v>94600</v>
      </c>
      <c r="M1066" s="335">
        <f t="shared" si="791"/>
        <v>5.3217546203518144E-2</v>
      </c>
      <c r="N1066" s="329">
        <f t="shared" si="815"/>
        <v>4780</v>
      </c>
    </row>
    <row r="1067" spans="1:14" s="150" customFormat="1" ht="11.45">
      <c r="A1067" s="157"/>
      <c r="B1067" s="158"/>
      <c r="C1067" s="146" t="s">
        <v>407</v>
      </c>
      <c r="D1067" s="151">
        <v>13000</v>
      </c>
      <c r="E1067" s="149">
        <v>15200</v>
      </c>
      <c r="F1067" s="229">
        <v>21000</v>
      </c>
      <c r="G1067" s="147">
        <v>-5000</v>
      </c>
      <c r="H1067" s="147">
        <f t="shared" ref="H1067:H1085" si="835">+G1067+F1067</f>
        <v>16000</v>
      </c>
      <c r="I1067" s="147"/>
      <c r="J1067" s="147">
        <f t="shared" ref="J1067:J1078" si="836">+I1067+H1067</f>
        <v>16000</v>
      </c>
      <c r="K1067" s="147">
        <v>7408</v>
      </c>
      <c r="L1067" s="229">
        <v>19000</v>
      </c>
      <c r="M1067" s="335">
        <f t="shared" si="791"/>
        <v>0.1875</v>
      </c>
      <c r="N1067" s="329">
        <f t="shared" si="815"/>
        <v>3000</v>
      </c>
    </row>
    <row r="1068" spans="1:14" s="150" customFormat="1" ht="14.1" customHeight="1">
      <c r="A1068" s="157"/>
      <c r="B1068" s="158"/>
      <c r="C1068" s="146" t="s">
        <v>408</v>
      </c>
      <c r="D1068" s="151">
        <v>8000</v>
      </c>
      <c r="E1068" s="149">
        <v>10800</v>
      </c>
      <c r="F1068" s="229">
        <v>16000</v>
      </c>
      <c r="G1068" s="147">
        <v>-1500</v>
      </c>
      <c r="H1068" s="147">
        <f t="shared" si="835"/>
        <v>14500</v>
      </c>
      <c r="I1068" s="147"/>
      <c r="J1068" s="147">
        <f t="shared" si="836"/>
        <v>14500</v>
      </c>
      <c r="K1068" s="147">
        <v>6859</v>
      </c>
      <c r="L1068" s="229">
        <v>15000</v>
      </c>
      <c r="M1068" s="335">
        <f t="shared" si="791"/>
        <v>3.4482758620689655E-2</v>
      </c>
      <c r="N1068" s="329">
        <f t="shared" si="815"/>
        <v>500</v>
      </c>
    </row>
    <row r="1069" spans="1:14" s="150" customFormat="1" ht="14.1" customHeight="1">
      <c r="A1069" s="157"/>
      <c r="B1069" s="158"/>
      <c r="C1069" s="146" t="s">
        <v>409</v>
      </c>
      <c r="D1069" s="151">
        <v>3000</v>
      </c>
      <c r="E1069" s="149">
        <v>3000</v>
      </c>
      <c r="F1069" s="229">
        <v>3500</v>
      </c>
      <c r="G1069" s="147">
        <v>500</v>
      </c>
      <c r="H1069" s="147">
        <f t="shared" si="835"/>
        <v>4000</v>
      </c>
      <c r="I1069" s="147"/>
      <c r="J1069" s="147">
        <f t="shared" si="836"/>
        <v>4000</v>
      </c>
      <c r="K1069" s="147">
        <v>2830</v>
      </c>
      <c r="L1069" s="229">
        <v>4000</v>
      </c>
      <c r="M1069" s="335">
        <f t="shared" si="791"/>
        <v>0</v>
      </c>
      <c r="N1069" s="329">
        <f t="shared" si="815"/>
        <v>0</v>
      </c>
    </row>
    <row r="1070" spans="1:14" s="150" customFormat="1" ht="14.1" customHeight="1">
      <c r="A1070" s="157"/>
      <c r="B1070" s="158"/>
      <c r="C1070" s="146" t="s">
        <v>580</v>
      </c>
      <c r="D1070" s="151">
        <v>5000</v>
      </c>
      <c r="E1070" s="149">
        <v>15000</v>
      </c>
      <c r="F1070" s="229">
        <v>10000</v>
      </c>
      <c r="G1070" s="242">
        <v>3000</v>
      </c>
      <c r="H1070" s="147">
        <f t="shared" si="835"/>
        <v>13000</v>
      </c>
      <c r="I1070" s="147"/>
      <c r="J1070" s="147">
        <f t="shared" si="836"/>
        <v>13000</v>
      </c>
      <c r="K1070" s="147">
        <v>11491</v>
      </c>
      <c r="L1070" s="229">
        <v>14000</v>
      </c>
      <c r="M1070" s="335">
        <f t="shared" si="791"/>
        <v>7.6923076923076927E-2</v>
      </c>
      <c r="N1070" s="329">
        <f t="shared" si="815"/>
        <v>1000</v>
      </c>
    </row>
    <row r="1071" spans="1:14" s="150" customFormat="1" ht="14.1" customHeight="1">
      <c r="A1071" s="157"/>
      <c r="B1071" s="158"/>
      <c r="C1071" s="146" t="s">
        <v>581</v>
      </c>
      <c r="D1071" s="151">
        <v>6000</v>
      </c>
      <c r="E1071" s="149">
        <v>6000</v>
      </c>
      <c r="F1071" s="229">
        <v>6700</v>
      </c>
      <c r="G1071" s="242">
        <v>2000</v>
      </c>
      <c r="H1071" s="147">
        <f t="shared" si="835"/>
        <v>8700</v>
      </c>
      <c r="I1071" s="147"/>
      <c r="J1071" s="147">
        <f t="shared" si="836"/>
        <v>8700</v>
      </c>
      <c r="K1071" s="147">
        <v>5278</v>
      </c>
      <c r="L1071" s="229">
        <v>9000</v>
      </c>
      <c r="M1071" s="335">
        <f t="shared" ref="M1071:M1134" si="837">(L1071-J1071)/J1071</f>
        <v>3.4482758620689655E-2</v>
      </c>
      <c r="N1071" s="329">
        <f t="shared" si="815"/>
        <v>300</v>
      </c>
    </row>
    <row r="1072" spans="1:14" s="150" customFormat="1" ht="14.1" customHeight="1">
      <c r="A1072" s="157"/>
      <c r="B1072" s="158"/>
      <c r="C1072" s="146" t="s">
        <v>570</v>
      </c>
      <c r="D1072" s="151">
        <v>10000</v>
      </c>
      <c r="E1072" s="149">
        <v>2500</v>
      </c>
      <c r="F1072" s="229">
        <v>1500</v>
      </c>
      <c r="G1072" s="147"/>
      <c r="H1072" s="147">
        <f t="shared" si="835"/>
        <v>1500</v>
      </c>
      <c r="I1072" s="147"/>
      <c r="J1072" s="147">
        <f t="shared" si="836"/>
        <v>1500</v>
      </c>
      <c r="K1072" s="147">
        <v>797</v>
      </c>
      <c r="L1072" s="229">
        <v>1600</v>
      </c>
      <c r="M1072" s="335">
        <f t="shared" si="837"/>
        <v>6.6666666666666666E-2</v>
      </c>
      <c r="N1072" s="329">
        <f t="shared" si="815"/>
        <v>100</v>
      </c>
    </row>
    <row r="1073" spans="1:14" s="150" customFormat="1" ht="14.1" customHeight="1">
      <c r="A1073" s="157"/>
      <c r="B1073" s="158"/>
      <c r="C1073" s="146" t="s">
        <v>414</v>
      </c>
      <c r="D1073" s="151">
        <v>1000</v>
      </c>
      <c r="E1073" s="149">
        <v>5000</v>
      </c>
      <c r="F1073" s="229">
        <v>1200</v>
      </c>
      <c r="G1073" s="147"/>
      <c r="H1073" s="147">
        <f t="shared" si="835"/>
        <v>1200</v>
      </c>
      <c r="I1073" s="147"/>
      <c r="J1073" s="147">
        <f t="shared" si="836"/>
        <v>1200</v>
      </c>
      <c r="K1073" s="147">
        <v>104</v>
      </c>
      <c r="L1073" s="229">
        <v>1080</v>
      </c>
      <c r="M1073" s="335">
        <f t="shared" si="837"/>
        <v>-0.1</v>
      </c>
      <c r="N1073" s="329">
        <f t="shared" si="815"/>
        <v>-120</v>
      </c>
    </row>
    <row r="1074" spans="1:14" s="150" customFormat="1" ht="11.45">
      <c r="A1074" s="157"/>
      <c r="B1074" s="158"/>
      <c r="C1074" s="146" t="s">
        <v>582</v>
      </c>
      <c r="D1074" s="151">
        <v>0</v>
      </c>
      <c r="E1074" s="149">
        <v>0</v>
      </c>
      <c r="F1074" s="229">
        <v>0</v>
      </c>
      <c r="G1074" s="147"/>
      <c r="H1074" s="147">
        <f t="shared" si="835"/>
        <v>0</v>
      </c>
      <c r="I1074" s="147"/>
      <c r="J1074" s="147">
        <f t="shared" si="836"/>
        <v>0</v>
      </c>
      <c r="K1074" s="147"/>
      <c r="L1074" s="229"/>
      <c r="M1074" s="335" t="e">
        <f t="shared" si="837"/>
        <v>#DIV/0!</v>
      </c>
      <c r="N1074" s="329">
        <f t="shared" si="815"/>
        <v>0</v>
      </c>
    </row>
    <row r="1075" spans="1:14" s="150" customFormat="1" ht="14.1" customHeight="1">
      <c r="A1075" s="157"/>
      <c r="B1075" s="158"/>
      <c r="C1075" s="146" t="s">
        <v>583</v>
      </c>
      <c r="D1075" s="151">
        <v>24696</v>
      </c>
      <c r="E1075" s="149">
        <v>24696</v>
      </c>
      <c r="F1075" s="229">
        <v>30920</v>
      </c>
      <c r="G1075" s="147"/>
      <c r="H1075" s="147">
        <f t="shared" si="835"/>
        <v>30920</v>
      </c>
      <c r="I1075" s="147"/>
      <c r="J1075" s="147">
        <f t="shared" si="836"/>
        <v>30920</v>
      </c>
      <c r="K1075" s="147">
        <v>27636</v>
      </c>
      <c r="L1075" s="229">
        <v>30920</v>
      </c>
      <c r="M1075" s="335">
        <f t="shared" si="837"/>
        <v>0</v>
      </c>
      <c r="N1075" s="329">
        <f t="shared" si="815"/>
        <v>0</v>
      </c>
    </row>
    <row r="1076" spans="1:14" s="150" customFormat="1" ht="14.1" customHeight="1">
      <c r="A1076" s="157"/>
      <c r="B1076" s="158"/>
      <c r="C1076" s="146" t="s">
        <v>416</v>
      </c>
      <c r="D1076" s="151">
        <v>0</v>
      </c>
      <c r="E1076" s="149">
        <v>0</v>
      </c>
      <c r="F1076" s="229">
        <v>0</v>
      </c>
      <c r="G1076" s="147"/>
      <c r="H1076" s="147">
        <f t="shared" si="835"/>
        <v>0</v>
      </c>
      <c r="I1076" s="147"/>
      <c r="J1076" s="147">
        <f t="shared" si="836"/>
        <v>0</v>
      </c>
      <c r="K1076" s="147">
        <v>242</v>
      </c>
      <c r="L1076" s="229"/>
      <c r="M1076" s="335" t="e">
        <f t="shared" si="837"/>
        <v>#DIV/0!</v>
      </c>
      <c r="N1076" s="329">
        <f t="shared" si="815"/>
        <v>0</v>
      </c>
    </row>
    <row r="1077" spans="1:14" ht="14.1" customHeight="1">
      <c r="A1077" s="32"/>
      <c r="B1077" s="33" t="s">
        <v>253</v>
      </c>
      <c r="C1077" s="34" t="s">
        <v>584</v>
      </c>
      <c r="D1077" s="52">
        <v>150</v>
      </c>
      <c r="E1077" s="17">
        <v>150</v>
      </c>
      <c r="F1077" s="226">
        <v>100</v>
      </c>
      <c r="G1077" s="17"/>
      <c r="H1077" s="17">
        <f t="shared" si="835"/>
        <v>100</v>
      </c>
      <c r="I1077" s="17"/>
      <c r="J1077" s="17">
        <f t="shared" si="836"/>
        <v>100</v>
      </c>
      <c r="K1077" s="17">
        <v>0</v>
      </c>
      <c r="L1077" s="226">
        <v>100</v>
      </c>
      <c r="M1077" s="335">
        <f t="shared" si="837"/>
        <v>0</v>
      </c>
      <c r="N1077" s="329">
        <f t="shared" si="815"/>
        <v>0</v>
      </c>
    </row>
    <row r="1078" spans="1:14" ht="14.1" customHeight="1">
      <c r="A1078" s="32"/>
      <c r="B1078" s="33" t="s">
        <v>255</v>
      </c>
      <c r="C1078" s="34" t="s">
        <v>221</v>
      </c>
      <c r="D1078" s="52">
        <v>6000</v>
      </c>
      <c r="E1078" s="17">
        <v>6000</v>
      </c>
      <c r="F1078" s="226">
        <v>2000</v>
      </c>
      <c r="G1078" s="194">
        <v>1000</v>
      </c>
      <c r="H1078" s="17">
        <f t="shared" si="835"/>
        <v>3000</v>
      </c>
      <c r="I1078" s="17"/>
      <c r="J1078" s="17">
        <f t="shared" si="836"/>
        <v>3000</v>
      </c>
      <c r="K1078" s="17">
        <v>2043</v>
      </c>
      <c r="L1078" s="226">
        <v>3700</v>
      </c>
      <c r="M1078" s="335">
        <f t="shared" si="837"/>
        <v>0.23333333333333334</v>
      </c>
      <c r="N1078" s="329">
        <f t="shared" si="815"/>
        <v>700</v>
      </c>
    </row>
    <row r="1079" spans="1:14" ht="14.1" customHeight="1">
      <c r="A1079" s="32"/>
      <c r="B1079" s="33" t="s">
        <v>256</v>
      </c>
      <c r="C1079" s="34" t="s">
        <v>257</v>
      </c>
      <c r="D1079" s="52">
        <v>6000</v>
      </c>
      <c r="E1079" s="17">
        <v>7000</v>
      </c>
      <c r="F1079" s="226">
        <v>8900</v>
      </c>
      <c r="G1079" s="192">
        <v>2281</v>
      </c>
      <c r="H1079" s="17">
        <f>+G1079+F1079</f>
        <v>11181</v>
      </c>
      <c r="I1079" s="17">
        <v>-2000</v>
      </c>
      <c r="J1079" s="17">
        <f>+I1079+H1079</f>
        <v>9181</v>
      </c>
      <c r="K1079" s="17">
        <v>1622</v>
      </c>
      <c r="L1079" s="226">
        <v>9000</v>
      </c>
      <c r="M1079" s="335">
        <f t="shared" si="837"/>
        <v>-1.9714628036161638E-2</v>
      </c>
      <c r="N1079" s="329">
        <f t="shared" si="815"/>
        <v>-181</v>
      </c>
    </row>
    <row r="1080" spans="1:14" ht="14.1" customHeight="1">
      <c r="A1080" s="32"/>
      <c r="B1080" s="33">
        <v>5516</v>
      </c>
      <c r="C1080" s="34" t="s">
        <v>573</v>
      </c>
      <c r="D1080" s="52">
        <v>5500</v>
      </c>
      <c r="E1080" s="17">
        <v>0</v>
      </c>
      <c r="F1080" s="226">
        <v>8200</v>
      </c>
      <c r="G1080" s="17"/>
      <c r="H1080" s="17">
        <f>+G1080+F1080</f>
        <v>8200</v>
      </c>
      <c r="I1080" s="17">
        <v>-6200</v>
      </c>
      <c r="J1080" s="17">
        <f>+I1080+H1080</f>
        <v>2000</v>
      </c>
      <c r="K1080" s="17">
        <v>633</v>
      </c>
      <c r="L1080" s="226">
        <v>6000</v>
      </c>
      <c r="M1080" s="335">
        <f t="shared" si="837"/>
        <v>2</v>
      </c>
      <c r="N1080" s="329">
        <f t="shared" si="815"/>
        <v>4000</v>
      </c>
    </row>
    <row r="1081" spans="1:14" ht="14.1" customHeight="1">
      <c r="A1081" s="32"/>
      <c r="B1081" s="33" t="s">
        <v>574</v>
      </c>
      <c r="C1081" s="34" t="s">
        <v>575</v>
      </c>
      <c r="D1081" s="52">
        <v>42000</v>
      </c>
      <c r="E1081" s="17">
        <v>38556</v>
      </c>
      <c r="F1081" s="226">
        <v>50000</v>
      </c>
      <c r="G1081" s="17"/>
      <c r="H1081" s="17">
        <f t="shared" si="835"/>
        <v>50000</v>
      </c>
      <c r="I1081" s="17">
        <v>15000</v>
      </c>
      <c r="J1081" s="17">
        <f t="shared" ref="J1081:J1085" si="838">+I1081+H1081</f>
        <v>65000</v>
      </c>
      <c r="K1081" s="17">
        <v>43875</v>
      </c>
      <c r="L1081" s="226">
        <v>55000</v>
      </c>
      <c r="M1081" s="335">
        <f t="shared" si="837"/>
        <v>-0.15384615384615385</v>
      </c>
      <c r="N1081" s="329">
        <f t="shared" si="815"/>
        <v>-10000</v>
      </c>
    </row>
    <row r="1082" spans="1:14" ht="14.1" customHeight="1">
      <c r="A1082" s="32"/>
      <c r="B1082" s="33" t="s">
        <v>261</v>
      </c>
      <c r="C1082" s="34" t="s">
        <v>262</v>
      </c>
      <c r="D1082" s="52">
        <v>500</v>
      </c>
      <c r="E1082" s="17">
        <v>500</v>
      </c>
      <c r="F1082" s="226">
        <v>670</v>
      </c>
      <c r="G1082" s="17"/>
      <c r="H1082" s="17">
        <f t="shared" si="835"/>
        <v>670</v>
      </c>
      <c r="I1082" s="17"/>
      <c r="J1082" s="17">
        <f t="shared" si="838"/>
        <v>670</v>
      </c>
      <c r="K1082" s="17">
        <v>21</v>
      </c>
      <c r="L1082" s="226">
        <v>700</v>
      </c>
      <c r="M1082" s="335">
        <f t="shared" si="837"/>
        <v>4.4776119402985072E-2</v>
      </c>
      <c r="N1082" s="329">
        <f t="shared" si="815"/>
        <v>30</v>
      </c>
    </row>
    <row r="1083" spans="1:14" ht="14.1" customHeight="1">
      <c r="A1083" s="32"/>
      <c r="B1083" s="33" t="s">
        <v>576</v>
      </c>
      <c r="C1083" s="34" t="s">
        <v>585</v>
      </c>
      <c r="D1083" s="52">
        <v>15000</v>
      </c>
      <c r="E1083" s="17">
        <v>16000</v>
      </c>
      <c r="F1083" s="226">
        <v>14000</v>
      </c>
      <c r="G1083" s="17"/>
      <c r="H1083" s="17">
        <f t="shared" si="835"/>
        <v>14000</v>
      </c>
      <c r="I1083" s="17"/>
      <c r="J1083" s="17">
        <f t="shared" si="838"/>
        <v>14000</v>
      </c>
      <c r="K1083" s="17">
        <v>7425</v>
      </c>
      <c r="L1083" s="226">
        <v>14000</v>
      </c>
      <c r="M1083" s="335">
        <f t="shared" si="837"/>
        <v>0</v>
      </c>
      <c r="N1083" s="329">
        <f t="shared" si="815"/>
        <v>0</v>
      </c>
    </row>
    <row r="1084" spans="1:14" ht="14.1" customHeight="1">
      <c r="A1084" s="32"/>
      <c r="B1084" s="33" t="s">
        <v>263</v>
      </c>
      <c r="C1084" s="34" t="s">
        <v>264</v>
      </c>
      <c r="D1084" s="52">
        <v>3000</v>
      </c>
      <c r="E1084" s="17">
        <v>3000</v>
      </c>
      <c r="F1084" s="226">
        <v>2000</v>
      </c>
      <c r="G1084" s="17"/>
      <c r="H1084" s="17">
        <f t="shared" si="835"/>
        <v>2000</v>
      </c>
      <c r="I1084" s="17"/>
      <c r="J1084" s="17">
        <f t="shared" si="838"/>
        <v>2000</v>
      </c>
      <c r="K1084" s="17">
        <v>2288</v>
      </c>
      <c r="L1084" s="226">
        <v>3000</v>
      </c>
      <c r="M1084" s="335">
        <f t="shared" si="837"/>
        <v>0.5</v>
      </c>
      <c r="N1084" s="329">
        <f t="shared" si="815"/>
        <v>1000</v>
      </c>
    </row>
    <row r="1085" spans="1:14" ht="14.1" customHeight="1">
      <c r="A1085" s="32"/>
      <c r="B1085" s="33" t="s">
        <v>305</v>
      </c>
      <c r="C1085" s="34" t="s">
        <v>348</v>
      </c>
      <c r="D1085" s="52">
        <v>4000</v>
      </c>
      <c r="E1085" s="17">
        <v>4400</v>
      </c>
      <c r="F1085" s="226">
        <v>4000</v>
      </c>
      <c r="G1085" s="17"/>
      <c r="H1085" s="17">
        <f t="shared" si="835"/>
        <v>4000</v>
      </c>
      <c r="I1085" s="17"/>
      <c r="J1085" s="17">
        <f t="shared" si="838"/>
        <v>4000</v>
      </c>
      <c r="K1085" s="17">
        <v>1940</v>
      </c>
      <c r="L1085" s="226">
        <v>3000</v>
      </c>
      <c r="M1085" s="335">
        <f t="shared" si="837"/>
        <v>-0.25</v>
      </c>
      <c r="N1085" s="329">
        <f t="shared" si="815"/>
        <v>-1000</v>
      </c>
    </row>
    <row r="1086" spans="1:14" s="2" customFormat="1" ht="14.1" customHeight="1">
      <c r="A1086" s="56" t="s">
        <v>49</v>
      </c>
      <c r="B1086" s="46"/>
      <c r="C1086" s="47" t="s">
        <v>586</v>
      </c>
      <c r="D1086" s="53">
        <v>218150</v>
      </c>
      <c r="E1086" s="50">
        <v>209763</v>
      </c>
      <c r="F1086" s="50">
        <f t="shared" ref="F1086" si="839">+F1087+F1088</f>
        <v>231350</v>
      </c>
      <c r="G1086" s="50">
        <f t="shared" ref="G1086:H1086" si="840">+G1087+G1088</f>
        <v>15405</v>
      </c>
      <c r="H1086" s="50">
        <f t="shared" si="840"/>
        <v>246755</v>
      </c>
      <c r="I1086" s="50">
        <f t="shared" ref="I1086:J1086" si="841">+I1087+I1088</f>
        <v>-3000</v>
      </c>
      <c r="J1086" s="50">
        <f t="shared" si="841"/>
        <v>243755</v>
      </c>
      <c r="K1086" s="50">
        <f t="shared" ref="K1086:L1086" si="842">+K1087+K1088</f>
        <v>171865</v>
      </c>
      <c r="L1086" s="50">
        <f t="shared" si="842"/>
        <v>242000</v>
      </c>
      <c r="M1086" s="335">
        <f t="shared" si="837"/>
        <v>-7.1998523107218316E-3</v>
      </c>
      <c r="N1086" s="329">
        <f t="shared" si="815"/>
        <v>-1755</v>
      </c>
    </row>
    <row r="1087" spans="1:14" s="6" customFormat="1" ht="14.1" customHeight="1">
      <c r="A1087" s="59"/>
      <c r="B1087" s="60" t="s">
        <v>210</v>
      </c>
      <c r="C1087" s="61" t="s">
        <v>211</v>
      </c>
      <c r="D1087" s="51">
        <v>157900</v>
      </c>
      <c r="E1087" s="143">
        <v>167443</v>
      </c>
      <c r="F1087" s="226">
        <v>173251</v>
      </c>
      <c r="G1087" s="194">
        <v>9479</v>
      </c>
      <c r="H1087" s="143">
        <f t="shared" ref="H1087:H1111" si="843">+G1087+F1087</f>
        <v>182730</v>
      </c>
      <c r="I1087" s="255">
        <v>1860</v>
      </c>
      <c r="J1087" s="143">
        <f t="shared" ref="J1087" si="844">+I1087+H1087</f>
        <v>184590</v>
      </c>
      <c r="K1087" s="143">
        <v>145769</v>
      </c>
      <c r="L1087" s="225">
        <v>180000</v>
      </c>
      <c r="M1087" s="335">
        <f t="shared" si="837"/>
        <v>-2.4865919063871283E-2</v>
      </c>
      <c r="N1087" s="329">
        <f t="shared" si="815"/>
        <v>-4590</v>
      </c>
    </row>
    <row r="1088" spans="1:14" ht="14.1" customHeight="1">
      <c r="A1088" s="32"/>
      <c r="B1088" s="38" t="s">
        <v>212</v>
      </c>
      <c r="C1088" s="39" t="s">
        <v>213</v>
      </c>
      <c r="D1088" s="51">
        <v>60250</v>
      </c>
      <c r="E1088" s="137">
        <v>42320</v>
      </c>
      <c r="F1088" s="137">
        <f t="shared" ref="F1088:K1088" si="845">+F1089+F1090+F1091+F1103+F1104+F1105+F1106+F1107+F1108+F1109+F1110+F1111</f>
        <v>58099</v>
      </c>
      <c r="G1088" s="137">
        <f t="shared" si="845"/>
        <v>5926</v>
      </c>
      <c r="H1088" s="137">
        <f t="shared" si="845"/>
        <v>64025</v>
      </c>
      <c r="I1088" s="137">
        <f t="shared" si="845"/>
        <v>-4860</v>
      </c>
      <c r="J1088" s="137">
        <f t="shared" si="845"/>
        <v>59165</v>
      </c>
      <c r="K1088" s="137">
        <f t="shared" si="845"/>
        <v>26096</v>
      </c>
      <c r="L1088" s="137">
        <f t="shared" ref="L1088" si="846">+L1089+L1090+L1091+L1103+L1104+L1105+L1106+L1107+L1108+L1109+L1110+L1111</f>
        <v>62000</v>
      </c>
      <c r="M1088" s="335">
        <f t="shared" si="837"/>
        <v>4.7916842727964169E-2</v>
      </c>
      <c r="N1088" s="329">
        <f t="shared" si="815"/>
        <v>2835</v>
      </c>
    </row>
    <row r="1089" spans="1:14" ht="14.1" customHeight="1">
      <c r="A1089" s="32"/>
      <c r="B1089" s="33" t="s">
        <v>214</v>
      </c>
      <c r="C1089" s="34" t="s">
        <v>227</v>
      </c>
      <c r="D1089" s="52">
        <v>900</v>
      </c>
      <c r="E1089" s="17">
        <v>1800</v>
      </c>
      <c r="F1089" s="226">
        <v>1000</v>
      </c>
      <c r="G1089" s="17"/>
      <c r="H1089" s="17">
        <f t="shared" si="843"/>
        <v>1000</v>
      </c>
      <c r="I1089" s="17"/>
      <c r="J1089" s="17">
        <f t="shared" ref="J1089:J1090" si="847">+I1089+H1089</f>
        <v>1000</v>
      </c>
      <c r="K1089" s="17">
        <v>1326</v>
      </c>
      <c r="L1089" s="226">
        <v>1000</v>
      </c>
      <c r="M1089" s="335">
        <f t="shared" si="837"/>
        <v>0</v>
      </c>
      <c r="N1089" s="329">
        <f t="shared" si="815"/>
        <v>0</v>
      </c>
    </row>
    <row r="1090" spans="1:14" ht="14.1" customHeight="1">
      <c r="A1090" s="32"/>
      <c r="B1090" s="33" t="s">
        <v>217</v>
      </c>
      <c r="C1090" s="34" t="s">
        <v>230</v>
      </c>
      <c r="D1090" s="52">
        <v>1000</v>
      </c>
      <c r="E1090" s="17">
        <v>700</v>
      </c>
      <c r="F1090" s="226">
        <v>900</v>
      </c>
      <c r="G1090" s="17"/>
      <c r="H1090" s="17">
        <f t="shared" si="843"/>
        <v>900</v>
      </c>
      <c r="I1090" s="17"/>
      <c r="J1090" s="17">
        <f t="shared" si="847"/>
        <v>900</v>
      </c>
      <c r="K1090" s="17">
        <v>106</v>
      </c>
      <c r="L1090" s="226">
        <v>900</v>
      </c>
      <c r="M1090" s="335">
        <f t="shared" si="837"/>
        <v>0</v>
      </c>
      <c r="N1090" s="329">
        <f t="shared" si="815"/>
        <v>0</v>
      </c>
    </row>
    <row r="1091" spans="1:14" ht="14.1" customHeight="1">
      <c r="A1091" s="32"/>
      <c r="B1091" s="33" t="s">
        <v>231</v>
      </c>
      <c r="C1091" s="34" t="s">
        <v>219</v>
      </c>
      <c r="D1091" s="52">
        <v>31800</v>
      </c>
      <c r="E1091" s="17">
        <v>19300</v>
      </c>
      <c r="F1091" s="226">
        <f t="shared" ref="F1091:I1091" si="848">SUM(F1092:F1101)</f>
        <v>31899</v>
      </c>
      <c r="G1091" s="17">
        <f t="shared" si="848"/>
        <v>6126</v>
      </c>
      <c r="H1091" s="17">
        <f t="shared" si="848"/>
        <v>38025</v>
      </c>
      <c r="I1091" s="17">
        <f t="shared" si="848"/>
        <v>-2260</v>
      </c>
      <c r="J1091" s="17">
        <f>SUM(J1092:J1101)</f>
        <v>35765</v>
      </c>
      <c r="K1091" s="17">
        <f t="shared" ref="K1091" si="849">SUM(K1092:K1101)</f>
        <v>13971</v>
      </c>
      <c r="L1091" s="17">
        <f>SUM(L1092:L1101)</f>
        <v>39200</v>
      </c>
      <c r="M1091" s="335">
        <f t="shared" si="837"/>
        <v>9.6043618062351455E-2</v>
      </c>
      <c r="N1091" s="329">
        <f t="shared" si="815"/>
        <v>3435</v>
      </c>
    </row>
    <row r="1092" spans="1:14" s="142" customFormat="1" ht="14.1" customHeight="1">
      <c r="A1092" s="144"/>
      <c r="B1092" s="145"/>
      <c r="C1092" s="146" t="s">
        <v>407</v>
      </c>
      <c r="D1092" s="151">
        <v>16000</v>
      </c>
      <c r="E1092" s="147">
        <v>3000</v>
      </c>
      <c r="F1092" s="229">
        <v>12000</v>
      </c>
      <c r="G1092" s="147">
        <v>-2000</v>
      </c>
      <c r="H1092" s="147">
        <f t="shared" si="843"/>
        <v>10000</v>
      </c>
      <c r="I1092" s="147">
        <f>-186-1860</f>
        <v>-2046</v>
      </c>
      <c r="J1092" s="147">
        <f t="shared" ref="J1092:J1111" si="850">+I1092+H1092</f>
        <v>7954</v>
      </c>
      <c r="K1092" s="147">
        <v>4358</v>
      </c>
      <c r="L1092" s="229">
        <v>7000</v>
      </c>
      <c r="M1092" s="335">
        <f t="shared" si="837"/>
        <v>-0.11993965300477748</v>
      </c>
      <c r="N1092" s="329">
        <f t="shared" si="815"/>
        <v>-954</v>
      </c>
    </row>
    <row r="1093" spans="1:14" s="142" customFormat="1" ht="14.1" customHeight="1">
      <c r="A1093" s="144"/>
      <c r="B1093" s="145"/>
      <c r="C1093" s="146" t="s">
        <v>408</v>
      </c>
      <c r="D1093" s="151">
        <v>2300</v>
      </c>
      <c r="E1093" s="147">
        <v>3000</v>
      </c>
      <c r="F1093" s="229">
        <v>4000</v>
      </c>
      <c r="G1093" s="147"/>
      <c r="H1093" s="147">
        <f t="shared" si="843"/>
        <v>4000</v>
      </c>
      <c r="I1093" s="147"/>
      <c r="J1093" s="147">
        <f t="shared" si="850"/>
        <v>4000</v>
      </c>
      <c r="K1093" s="147">
        <v>2060</v>
      </c>
      <c r="L1093" s="229">
        <v>5100</v>
      </c>
      <c r="M1093" s="335">
        <f t="shared" si="837"/>
        <v>0.27500000000000002</v>
      </c>
      <c r="N1093" s="329">
        <f t="shared" si="815"/>
        <v>1100</v>
      </c>
    </row>
    <row r="1094" spans="1:14" s="142" customFormat="1" ht="14.1" customHeight="1">
      <c r="A1094" s="144"/>
      <c r="B1094" s="145"/>
      <c r="C1094" s="146" t="s">
        <v>409</v>
      </c>
      <c r="D1094" s="151">
        <v>1300</v>
      </c>
      <c r="E1094" s="147">
        <v>1000</v>
      </c>
      <c r="F1094" s="229">
        <v>1000</v>
      </c>
      <c r="G1094" s="147"/>
      <c r="H1094" s="147">
        <f t="shared" si="843"/>
        <v>1000</v>
      </c>
      <c r="I1094" s="147"/>
      <c r="J1094" s="147">
        <f t="shared" si="850"/>
        <v>1000</v>
      </c>
      <c r="K1094" s="147">
        <v>707</v>
      </c>
      <c r="L1094" s="229">
        <v>1200</v>
      </c>
      <c r="M1094" s="335">
        <f t="shared" si="837"/>
        <v>0.2</v>
      </c>
      <c r="N1094" s="329">
        <f t="shared" ref="N1094:N1157" si="851">L1094-J1094</f>
        <v>200</v>
      </c>
    </row>
    <row r="1095" spans="1:14" s="142" customFormat="1" ht="14.1" customHeight="1">
      <c r="A1095" s="144"/>
      <c r="B1095" s="145"/>
      <c r="C1095" s="146" t="s">
        <v>410</v>
      </c>
      <c r="D1095" s="151">
        <v>1000</v>
      </c>
      <c r="E1095" s="147">
        <v>1500</v>
      </c>
      <c r="F1095" s="229">
        <v>2000</v>
      </c>
      <c r="G1095" s="147">
        <v>1000</v>
      </c>
      <c r="H1095" s="147">
        <f t="shared" si="843"/>
        <v>3000</v>
      </c>
      <c r="I1095" s="147"/>
      <c r="J1095" s="147">
        <f t="shared" si="850"/>
        <v>3000</v>
      </c>
      <c r="K1095" s="147">
        <v>1393</v>
      </c>
      <c r="L1095" s="229">
        <v>3000</v>
      </c>
      <c r="M1095" s="335">
        <f t="shared" si="837"/>
        <v>0</v>
      </c>
      <c r="N1095" s="329">
        <f t="shared" si="851"/>
        <v>0</v>
      </c>
    </row>
    <row r="1096" spans="1:14" s="142" customFormat="1" ht="14.1" customHeight="1">
      <c r="A1096" s="144"/>
      <c r="B1096" s="145"/>
      <c r="C1096" s="146" t="s">
        <v>587</v>
      </c>
      <c r="D1096" s="151">
        <v>1000</v>
      </c>
      <c r="E1096" s="147">
        <v>2000</v>
      </c>
      <c r="F1096" s="229">
        <v>1500</v>
      </c>
      <c r="G1096" s="147">
        <v>300</v>
      </c>
      <c r="H1096" s="147">
        <f t="shared" si="843"/>
        <v>1800</v>
      </c>
      <c r="I1096" s="147"/>
      <c r="J1096" s="147">
        <f t="shared" si="850"/>
        <v>1800</v>
      </c>
      <c r="K1096" s="147">
        <v>1407</v>
      </c>
      <c r="L1096" s="229">
        <v>2000</v>
      </c>
      <c r="M1096" s="335">
        <f t="shared" si="837"/>
        <v>0.1111111111111111</v>
      </c>
      <c r="N1096" s="329">
        <f t="shared" si="851"/>
        <v>200</v>
      </c>
    </row>
    <row r="1097" spans="1:14" s="142" customFormat="1" ht="14.1" customHeight="1">
      <c r="A1097" s="144"/>
      <c r="B1097" s="145"/>
      <c r="C1097" s="146" t="s">
        <v>588</v>
      </c>
      <c r="D1097" s="151">
        <v>1200</v>
      </c>
      <c r="E1097" s="147">
        <v>1200</v>
      </c>
      <c r="F1097" s="229">
        <v>1200</v>
      </c>
      <c r="G1097" s="147">
        <v>200</v>
      </c>
      <c r="H1097" s="147">
        <f>+G1097+F1097</f>
        <v>1400</v>
      </c>
      <c r="I1097" s="147"/>
      <c r="J1097" s="147">
        <f>+I1097+H1097</f>
        <v>1400</v>
      </c>
      <c r="K1097" s="147">
        <v>1137</v>
      </c>
      <c r="L1097" s="229">
        <v>1500</v>
      </c>
      <c r="M1097" s="335">
        <f t="shared" si="837"/>
        <v>7.1428571428571425E-2</v>
      </c>
      <c r="N1097" s="329">
        <f t="shared" si="851"/>
        <v>100</v>
      </c>
    </row>
    <row r="1098" spans="1:14" s="142" customFormat="1" ht="12.75" customHeight="1">
      <c r="A1098" s="144"/>
      <c r="B1098" s="145"/>
      <c r="C1098" s="146" t="s">
        <v>414</v>
      </c>
      <c r="D1098" s="151">
        <v>7300</v>
      </c>
      <c r="E1098" s="147">
        <v>7000</v>
      </c>
      <c r="F1098" s="229">
        <v>10000</v>
      </c>
      <c r="G1098" s="147"/>
      <c r="H1098" s="147">
        <f t="shared" si="843"/>
        <v>10000</v>
      </c>
      <c r="I1098" s="147">
        <v>-400</v>
      </c>
      <c r="J1098" s="147">
        <f t="shared" si="850"/>
        <v>9600</v>
      </c>
      <c r="K1098" s="147">
        <v>21</v>
      </c>
      <c r="L1098" s="229">
        <f>4000+7650</f>
        <v>11650</v>
      </c>
      <c r="M1098" s="335">
        <f t="shared" si="837"/>
        <v>0.21354166666666666</v>
      </c>
      <c r="N1098" s="329">
        <f t="shared" si="851"/>
        <v>2050</v>
      </c>
    </row>
    <row r="1099" spans="1:14" s="142" customFormat="1" ht="14.1" customHeight="1">
      <c r="A1099" s="144"/>
      <c r="B1099" s="145"/>
      <c r="C1099" s="146" t="s">
        <v>582</v>
      </c>
      <c r="D1099" s="151">
        <v>500</v>
      </c>
      <c r="E1099" s="147">
        <v>600</v>
      </c>
      <c r="F1099" s="229">
        <v>199</v>
      </c>
      <c r="G1099" s="147"/>
      <c r="H1099" s="147">
        <f t="shared" si="843"/>
        <v>199</v>
      </c>
      <c r="I1099" s="147">
        <v>186</v>
      </c>
      <c r="J1099" s="147">
        <f t="shared" si="850"/>
        <v>385</v>
      </c>
      <c r="K1099" s="147">
        <v>385</v>
      </c>
      <c r="L1099" s="229">
        <v>400</v>
      </c>
      <c r="M1099" s="335">
        <f t="shared" si="837"/>
        <v>3.896103896103896E-2</v>
      </c>
      <c r="N1099" s="329">
        <f t="shared" si="851"/>
        <v>15</v>
      </c>
    </row>
    <row r="1100" spans="1:14" s="142" customFormat="1" ht="14.1" customHeight="1">
      <c r="A1100" s="144"/>
      <c r="B1100" s="145"/>
      <c r="C1100" s="146" t="s">
        <v>589</v>
      </c>
      <c r="D1100" s="151">
        <v>0</v>
      </c>
      <c r="E1100" s="147">
        <v>0</v>
      </c>
      <c r="F1100" s="229">
        <v>0</v>
      </c>
      <c r="G1100" s="147"/>
      <c r="H1100" s="147">
        <f t="shared" si="843"/>
        <v>0</v>
      </c>
      <c r="I1100" s="147"/>
      <c r="J1100" s="147">
        <f t="shared" si="850"/>
        <v>0</v>
      </c>
      <c r="K1100" s="147"/>
      <c r="L1100" s="229"/>
      <c r="M1100" s="335" t="e">
        <f t="shared" si="837"/>
        <v>#DIV/0!</v>
      </c>
      <c r="N1100" s="329">
        <f t="shared" si="851"/>
        <v>0</v>
      </c>
    </row>
    <row r="1101" spans="1:14" s="142" customFormat="1" ht="14.1" customHeight="1">
      <c r="A1101" s="144"/>
      <c r="B1101" s="145"/>
      <c r="C1101" s="146" t="s">
        <v>590</v>
      </c>
      <c r="D1101" s="151">
        <v>1200</v>
      </c>
      <c r="E1101" s="147">
        <v>0</v>
      </c>
      <c r="F1101" s="229">
        <v>0</v>
      </c>
      <c r="G1101" s="242">
        <v>6626</v>
      </c>
      <c r="H1101" s="147">
        <f t="shared" si="843"/>
        <v>6626</v>
      </c>
      <c r="I1101" s="147"/>
      <c r="J1101" s="147">
        <f t="shared" si="850"/>
        <v>6626</v>
      </c>
      <c r="K1101" s="147">
        <v>2503</v>
      </c>
      <c r="L1101" s="229">
        <v>7350</v>
      </c>
      <c r="M1101" s="335">
        <f t="shared" si="837"/>
        <v>0.1092665258074253</v>
      </c>
      <c r="N1101" s="329">
        <f t="shared" si="851"/>
        <v>724</v>
      </c>
    </row>
    <row r="1102" spans="1:14" s="43" customFormat="1" ht="14.1" customHeight="1">
      <c r="A1102" s="32"/>
      <c r="B1102" s="33">
        <v>5512</v>
      </c>
      <c r="C1102" s="34" t="s">
        <v>344</v>
      </c>
      <c r="D1102" s="52"/>
      <c r="E1102" s="17">
        <v>20</v>
      </c>
      <c r="F1102" s="226"/>
      <c r="G1102" s="17"/>
      <c r="H1102" s="17">
        <f t="shared" si="843"/>
        <v>0</v>
      </c>
      <c r="I1102" s="17"/>
      <c r="J1102" s="17">
        <f t="shared" si="850"/>
        <v>0</v>
      </c>
      <c r="K1102" s="17"/>
      <c r="L1102" s="226"/>
      <c r="M1102" s="335" t="e">
        <f t="shared" si="837"/>
        <v>#DIV/0!</v>
      </c>
      <c r="N1102" s="329">
        <f t="shared" si="851"/>
        <v>0</v>
      </c>
    </row>
    <row r="1103" spans="1:14" ht="14.1" customHeight="1">
      <c r="A1103" s="32"/>
      <c r="B1103" s="33">
        <v>5513</v>
      </c>
      <c r="C1103" s="34" t="s">
        <v>591</v>
      </c>
      <c r="D1103" s="52">
        <v>500</v>
      </c>
      <c r="E1103" s="17">
        <v>500</v>
      </c>
      <c r="F1103" s="226">
        <v>300</v>
      </c>
      <c r="G1103" s="17"/>
      <c r="H1103" s="17">
        <f t="shared" si="843"/>
        <v>300</v>
      </c>
      <c r="I1103" s="17"/>
      <c r="J1103" s="17">
        <f t="shared" si="850"/>
        <v>300</v>
      </c>
      <c r="K1103" s="17">
        <v>0</v>
      </c>
      <c r="L1103" s="226">
        <v>100</v>
      </c>
      <c r="M1103" s="335">
        <f t="shared" si="837"/>
        <v>-0.66666666666666663</v>
      </c>
      <c r="N1103" s="329">
        <f t="shared" si="851"/>
        <v>-200</v>
      </c>
    </row>
    <row r="1104" spans="1:14" ht="14.1" customHeight="1">
      <c r="A1104" s="32"/>
      <c r="B1104" s="33">
        <v>5514</v>
      </c>
      <c r="C1104" s="34" t="s">
        <v>592</v>
      </c>
      <c r="D1104" s="52">
        <v>600</v>
      </c>
      <c r="E1104" s="17">
        <v>850</v>
      </c>
      <c r="F1104" s="226">
        <v>1200</v>
      </c>
      <c r="G1104" s="17">
        <v>-200</v>
      </c>
      <c r="H1104" s="17">
        <f t="shared" si="843"/>
        <v>1000</v>
      </c>
      <c r="I1104" s="17"/>
      <c r="J1104" s="17">
        <f t="shared" si="850"/>
        <v>1000</v>
      </c>
      <c r="K1104" s="17">
        <v>795</v>
      </c>
      <c r="L1104" s="226">
        <v>800</v>
      </c>
      <c r="M1104" s="335">
        <f t="shared" si="837"/>
        <v>-0.2</v>
      </c>
      <c r="N1104" s="329">
        <f t="shared" si="851"/>
        <v>-200</v>
      </c>
    </row>
    <row r="1105" spans="1:14" ht="14.1" customHeight="1">
      <c r="A1105" s="32"/>
      <c r="B1105" s="33">
        <v>5515</v>
      </c>
      <c r="C1105" s="34" t="s">
        <v>593</v>
      </c>
      <c r="D1105" s="52">
        <v>5000</v>
      </c>
      <c r="E1105" s="17">
        <v>3100</v>
      </c>
      <c r="F1105" s="226">
        <v>800</v>
      </c>
      <c r="G1105" s="17"/>
      <c r="H1105" s="17">
        <f t="shared" si="843"/>
        <v>800</v>
      </c>
      <c r="I1105" s="17">
        <v>400</v>
      </c>
      <c r="J1105" s="17">
        <f t="shared" si="850"/>
        <v>1200</v>
      </c>
      <c r="K1105" s="17">
        <v>887</v>
      </c>
      <c r="L1105" s="226">
        <v>2000</v>
      </c>
      <c r="M1105" s="335">
        <f t="shared" si="837"/>
        <v>0.66666666666666663</v>
      </c>
      <c r="N1105" s="329">
        <f t="shared" si="851"/>
        <v>800</v>
      </c>
    </row>
    <row r="1106" spans="1:14" ht="14.1" customHeight="1">
      <c r="A1106" s="32"/>
      <c r="B1106" s="33">
        <v>5516</v>
      </c>
      <c r="C1106" s="34" t="s">
        <v>573</v>
      </c>
      <c r="D1106" s="52"/>
      <c r="E1106" s="17">
        <v>0</v>
      </c>
      <c r="F1106" s="226">
        <v>1000</v>
      </c>
      <c r="G1106" s="17"/>
      <c r="H1106" s="17">
        <f t="shared" si="843"/>
        <v>1000</v>
      </c>
      <c r="I1106" s="17"/>
      <c r="J1106" s="17">
        <f t="shared" si="850"/>
        <v>1000</v>
      </c>
      <c r="K1106" s="17">
        <v>673</v>
      </c>
      <c r="L1106" s="226">
        <v>1300</v>
      </c>
      <c r="M1106" s="335">
        <f t="shared" si="837"/>
        <v>0.3</v>
      </c>
      <c r="N1106" s="329">
        <f t="shared" si="851"/>
        <v>300</v>
      </c>
    </row>
    <row r="1107" spans="1:14" ht="14.1" customHeight="1">
      <c r="A1107" s="32"/>
      <c r="B1107" s="33">
        <v>5521</v>
      </c>
      <c r="C1107" s="34" t="s">
        <v>418</v>
      </c>
      <c r="D1107" s="52">
        <v>13020</v>
      </c>
      <c r="E1107" s="17">
        <v>11450</v>
      </c>
      <c r="F1107" s="226">
        <v>16000</v>
      </c>
      <c r="G1107" s="17"/>
      <c r="H1107" s="17">
        <f t="shared" si="843"/>
        <v>16000</v>
      </c>
      <c r="I1107" s="17">
        <v>-3000</v>
      </c>
      <c r="J1107" s="17">
        <f t="shared" si="850"/>
        <v>13000</v>
      </c>
      <c r="K1107" s="17">
        <v>6109</v>
      </c>
      <c r="L1107" s="226">
        <v>12000</v>
      </c>
      <c r="M1107" s="335">
        <f t="shared" si="837"/>
        <v>-7.6923076923076927E-2</v>
      </c>
      <c r="N1107" s="329">
        <f t="shared" si="851"/>
        <v>-1000</v>
      </c>
    </row>
    <row r="1108" spans="1:14" ht="14.1" customHeight="1">
      <c r="A1108" s="32"/>
      <c r="B1108" s="33">
        <v>5522</v>
      </c>
      <c r="C1108" s="34" t="s">
        <v>262</v>
      </c>
      <c r="D1108" s="52">
        <v>150</v>
      </c>
      <c r="E1108" s="17">
        <v>0</v>
      </c>
      <c r="F1108" s="226">
        <v>300</v>
      </c>
      <c r="G1108" s="17"/>
      <c r="H1108" s="17">
        <f t="shared" si="843"/>
        <v>300</v>
      </c>
      <c r="I1108" s="17"/>
      <c r="J1108" s="17">
        <f t="shared" si="850"/>
        <v>300</v>
      </c>
      <c r="K1108" s="17"/>
      <c r="L1108" s="226">
        <v>300</v>
      </c>
      <c r="M1108" s="335">
        <f t="shared" si="837"/>
        <v>0</v>
      </c>
      <c r="N1108" s="329">
        <f t="shared" si="851"/>
        <v>0</v>
      </c>
    </row>
    <row r="1109" spans="1:14" ht="14.1" customHeight="1">
      <c r="A1109" s="32"/>
      <c r="B1109" s="33">
        <v>5524</v>
      </c>
      <c r="C1109" s="34" t="s">
        <v>577</v>
      </c>
      <c r="D1109" s="52">
        <v>5000</v>
      </c>
      <c r="E1109" s="17">
        <v>3000</v>
      </c>
      <c r="F1109" s="226">
        <v>3100</v>
      </c>
      <c r="G1109" s="17"/>
      <c r="H1109" s="17">
        <f t="shared" si="843"/>
        <v>3100</v>
      </c>
      <c r="I1109" s="17"/>
      <c r="J1109" s="17">
        <f t="shared" si="850"/>
        <v>3100</v>
      </c>
      <c r="K1109" s="17">
        <v>1104</v>
      </c>
      <c r="L1109" s="226">
        <v>2700</v>
      </c>
      <c r="M1109" s="335">
        <f t="shared" si="837"/>
        <v>-0.12903225806451613</v>
      </c>
      <c r="N1109" s="329">
        <f t="shared" si="851"/>
        <v>-400</v>
      </c>
    </row>
    <row r="1110" spans="1:14" ht="14.1" customHeight="1">
      <c r="A1110" s="32"/>
      <c r="B1110" s="33">
        <v>5525</v>
      </c>
      <c r="C1110" s="34" t="s">
        <v>264</v>
      </c>
      <c r="D1110" s="52">
        <v>1900</v>
      </c>
      <c r="E1110" s="17">
        <v>1200</v>
      </c>
      <c r="F1110" s="226">
        <v>1000</v>
      </c>
      <c r="G1110" s="17"/>
      <c r="H1110" s="17">
        <f t="shared" si="843"/>
        <v>1000</v>
      </c>
      <c r="I1110" s="17"/>
      <c r="J1110" s="17">
        <f t="shared" si="850"/>
        <v>1000</v>
      </c>
      <c r="K1110" s="17">
        <v>980</v>
      </c>
      <c r="L1110" s="226">
        <v>1400</v>
      </c>
      <c r="M1110" s="335">
        <f t="shared" si="837"/>
        <v>0.4</v>
      </c>
      <c r="N1110" s="329">
        <f t="shared" si="851"/>
        <v>400</v>
      </c>
    </row>
    <row r="1111" spans="1:14" ht="14.1" customHeight="1">
      <c r="A1111" s="32"/>
      <c r="B1111" s="33">
        <v>5540</v>
      </c>
      <c r="C1111" s="34" t="s">
        <v>348</v>
      </c>
      <c r="D1111" s="52">
        <v>380</v>
      </c>
      <c r="E1111" s="17">
        <v>400</v>
      </c>
      <c r="F1111" s="226">
        <v>600</v>
      </c>
      <c r="G1111" s="17"/>
      <c r="H1111" s="17">
        <f t="shared" si="843"/>
        <v>600</v>
      </c>
      <c r="I1111" s="17"/>
      <c r="J1111" s="17">
        <f t="shared" si="850"/>
        <v>600</v>
      </c>
      <c r="K1111" s="17">
        <v>145</v>
      </c>
      <c r="L1111" s="226">
        <v>300</v>
      </c>
      <c r="M1111" s="335">
        <f t="shared" si="837"/>
        <v>-0.5</v>
      </c>
      <c r="N1111" s="329">
        <f t="shared" si="851"/>
        <v>-300</v>
      </c>
    </row>
    <row r="1112" spans="1:14" ht="14.1" customHeight="1">
      <c r="A1112" s="56" t="s">
        <v>47</v>
      </c>
      <c r="B1112" s="46"/>
      <c r="C1112" s="47" t="s">
        <v>594</v>
      </c>
      <c r="D1112" s="53">
        <v>745090</v>
      </c>
      <c r="E1112" s="50">
        <v>1154180</v>
      </c>
      <c r="F1112" s="50">
        <f t="shared" ref="F1112" si="852">+F1113+F1114+F1115</f>
        <v>1492344</v>
      </c>
      <c r="G1112" s="50">
        <f t="shared" ref="G1112:H1112" si="853">+G1113+G1114+G1115</f>
        <v>-13300</v>
      </c>
      <c r="H1112" s="50">
        <f t="shared" si="853"/>
        <v>1479044</v>
      </c>
      <c r="I1112" s="50">
        <f t="shared" ref="I1112:J1112" si="854">+I1113+I1114+I1115</f>
        <v>-17600</v>
      </c>
      <c r="J1112" s="50">
        <f t="shared" si="854"/>
        <v>1461444</v>
      </c>
      <c r="K1112" s="50">
        <f t="shared" ref="K1112:L1112" si="855">+K1113+K1114+K1115</f>
        <v>1055499</v>
      </c>
      <c r="L1112" s="50">
        <f t="shared" si="855"/>
        <v>1559600</v>
      </c>
      <c r="M1112" s="335">
        <f t="shared" si="837"/>
        <v>6.7163709317633796E-2</v>
      </c>
      <c r="N1112" s="329">
        <f t="shared" si="851"/>
        <v>98156</v>
      </c>
    </row>
    <row r="1113" spans="1:14" ht="14.1" customHeight="1">
      <c r="A1113" s="69"/>
      <c r="B1113" s="38">
        <v>45</v>
      </c>
      <c r="C1113" s="39" t="s">
        <v>567</v>
      </c>
      <c r="D1113" s="51">
        <v>0</v>
      </c>
      <c r="E1113" s="17">
        <v>0</v>
      </c>
      <c r="F1113" s="226"/>
      <c r="G1113" s="17">
        <f>+E1113+F1113</f>
        <v>0</v>
      </c>
      <c r="H1113" s="17">
        <f>+F1113+G1113</f>
        <v>0</v>
      </c>
      <c r="I1113" s="17">
        <f>+G1113+H1113</f>
        <v>0</v>
      </c>
      <c r="J1113" s="17">
        <f>+H1113+I1113</f>
        <v>0</v>
      </c>
      <c r="K1113" s="17">
        <f>+I1113+J1113</f>
        <v>0</v>
      </c>
      <c r="L1113" s="226"/>
      <c r="M1113" s="335" t="e">
        <f t="shared" si="837"/>
        <v>#DIV/0!</v>
      </c>
      <c r="N1113" s="329">
        <f t="shared" si="851"/>
        <v>0</v>
      </c>
    </row>
    <row r="1114" spans="1:14" ht="14.1" customHeight="1">
      <c r="A1114" s="69"/>
      <c r="B1114" s="38">
        <v>50</v>
      </c>
      <c r="C1114" s="39" t="s">
        <v>211</v>
      </c>
      <c r="D1114" s="51">
        <v>521230</v>
      </c>
      <c r="E1114" s="143">
        <v>918095</v>
      </c>
      <c r="F1114" s="226">
        <v>1210550</v>
      </c>
      <c r="G1114" s="143"/>
      <c r="H1114" s="143">
        <f>+F1114+G1114</f>
        <v>1210550</v>
      </c>
      <c r="I1114" s="321">
        <v>-15000</v>
      </c>
      <c r="J1114" s="143">
        <f>+H1114+I1114</f>
        <v>1195550</v>
      </c>
      <c r="K1114" s="143">
        <v>875285</v>
      </c>
      <c r="L1114" s="225">
        <f>1244600+36000</f>
        <v>1280600</v>
      </c>
      <c r="M1114" s="335">
        <f t="shared" si="837"/>
        <v>7.1138806407092969E-2</v>
      </c>
      <c r="N1114" s="329">
        <f t="shared" si="851"/>
        <v>85050</v>
      </c>
    </row>
    <row r="1115" spans="1:14" ht="14.1" customHeight="1">
      <c r="A1115" s="69"/>
      <c r="B1115" s="38">
        <v>55</v>
      </c>
      <c r="C1115" s="39" t="s">
        <v>213</v>
      </c>
      <c r="D1115" s="51">
        <v>223860</v>
      </c>
      <c r="E1115" s="137">
        <v>236085</v>
      </c>
      <c r="F1115" s="137">
        <f>+F1116+F1117+F1118+F1129+F1130+F1131+F1132+F1133+F1134+F1135+F1136+F1138+F1137</f>
        <v>281794</v>
      </c>
      <c r="G1115" s="137">
        <f t="shared" ref="G1115:H1115" si="856">+G1116+G1117+G1118+G1129+G1130+G1131+G1132+G1133+G1134+G1135+G1136+G1138+G1137</f>
        <v>-13300</v>
      </c>
      <c r="H1115" s="137">
        <f t="shared" si="856"/>
        <v>268494</v>
      </c>
      <c r="I1115" s="137">
        <f t="shared" ref="I1115:J1115" si="857">+I1116+I1117+I1118+I1129+I1130+I1131+I1132+I1133+I1134+I1135+I1136+I1138+I1137</f>
        <v>-2600</v>
      </c>
      <c r="J1115" s="137">
        <f t="shared" si="857"/>
        <v>265894</v>
      </c>
      <c r="K1115" s="137">
        <f t="shared" ref="K1115" si="858">+K1116+K1117+K1118+K1129+K1130+K1131+K1132+K1133+K1134+K1135+K1136+K1138+K1137</f>
        <v>180214</v>
      </c>
      <c r="L1115" s="137">
        <f>+L1116+L1117+L1118+L1129+L1130+L1131+L1132+L1133+L1134+L1135+L1136+L1138+L1137</f>
        <v>279000</v>
      </c>
      <c r="M1115" s="335">
        <f t="shared" si="837"/>
        <v>4.9290318698428696E-2</v>
      </c>
      <c r="N1115" s="329">
        <f t="shared" si="851"/>
        <v>13106</v>
      </c>
    </row>
    <row r="1116" spans="1:14" ht="14.1" customHeight="1">
      <c r="A1116" s="69"/>
      <c r="B1116" s="33" t="s">
        <v>214</v>
      </c>
      <c r="C1116" s="34" t="s">
        <v>227</v>
      </c>
      <c r="D1116" s="52">
        <v>2230</v>
      </c>
      <c r="E1116" s="17">
        <v>4700</v>
      </c>
      <c r="F1116" s="226">
        <v>7000</v>
      </c>
      <c r="G1116" s="17">
        <v>-1000</v>
      </c>
      <c r="H1116" s="17">
        <f>+F1116+G1116</f>
        <v>6000</v>
      </c>
      <c r="I1116" s="17"/>
      <c r="J1116" s="17">
        <f>+H1116+I1116</f>
        <v>6000</v>
      </c>
      <c r="K1116" s="17">
        <v>1903</v>
      </c>
      <c r="L1116" s="226">
        <v>5100</v>
      </c>
      <c r="M1116" s="335">
        <f t="shared" si="837"/>
        <v>-0.15</v>
      </c>
      <c r="N1116" s="329">
        <f t="shared" si="851"/>
        <v>-900</v>
      </c>
    </row>
    <row r="1117" spans="1:14" ht="14.1" customHeight="1">
      <c r="A1117" s="69"/>
      <c r="B1117" s="33" t="s">
        <v>217</v>
      </c>
      <c r="C1117" s="34" t="s">
        <v>230</v>
      </c>
      <c r="D1117" s="52">
        <v>3000</v>
      </c>
      <c r="E1117" s="17">
        <v>5500</v>
      </c>
      <c r="F1117" s="226">
        <v>5000</v>
      </c>
      <c r="G1117" s="17">
        <v>1000</v>
      </c>
      <c r="H1117" s="17">
        <f>+F1117+G1117</f>
        <v>6000</v>
      </c>
      <c r="I1117" s="255">
        <v>360</v>
      </c>
      <c r="J1117" s="17">
        <f>+H1117+I1117</f>
        <v>6360</v>
      </c>
      <c r="K1117" s="17">
        <v>4566</v>
      </c>
      <c r="L1117" s="226">
        <v>5000</v>
      </c>
      <c r="M1117" s="335">
        <f t="shared" si="837"/>
        <v>-0.21383647798742139</v>
      </c>
      <c r="N1117" s="329">
        <f t="shared" si="851"/>
        <v>-1360</v>
      </c>
    </row>
    <row r="1118" spans="1:14" ht="13.5" customHeight="1">
      <c r="A1118" s="69"/>
      <c r="B1118" s="33" t="s">
        <v>231</v>
      </c>
      <c r="C1118" s="34" t="s">
        <v>219</v>
      </c>
      <c r="D1118" s="52">
        <v>65010</v>
      </c>
      <c r="E1118" s="17">
        <v>109426</v>
      </c>
      <c r="F1118" s="226">
        <f t="shared" ref="F1118" si="859">SUM(F1119:F1128)</f>
        <v>127194</v>
      </c>
      <c r="G1118" s="17">
        <f t="shared" ref="G1118:H1118" si="860">SUM(G1119:G1128)</f>
        <v>-19700</v>
      </c>
      <c r="H1118" s="17">
        <f t="shared" si="860"/>
        <v>107494</v>
      </c>
      <c r="I1118" s="17">
        <f t="shared" ref="I1118:L1118" si="861">SUM(I1119:I1128)</f>
        <v>0</v>
      </c>
      <c r="J1118" s="17">
        <f t="shared" si="861"/>
        <v>107494</v>
      </c>
      <c r="K1118" s="17">
        <f t="shared" si="861"/>
        <v>82205</v>
      </c>
      <c r="L1118" s="226">
        <f t="shared" si="861"/>
        <v>123000</v>
      </c>
      <c r="M1118" s="335">
        <f t="shared" si="837"/>
        <v>0.14424991162297429</v>
      </c>
      <c r="N1118" s="329">
        <f t="shared" si="851"/>
        <v>15506</v>
      </c>
    </row>
    <row r="1119" spans="1:14" s="150" customFormat="1" ht="14.1" customHeight="1">
      <c r="A1119" s="171"/>
      <c r="B1119" s="158"/>
      <c r="C1119" s="146" t="s">
        <v>407</v>
      </c>
      <c r="D1119" s="151">
        <v>11000</v>
      </c>
      <c r="E1119" s="147">
        <v>37600</v>
      </c>
      <c r="F1119" s="229">
        <v>32000</v>
      </c>
      <c r="G1119" s="147">
        <v>-24000</v>
      </c>
      <c r="H1119" s="147">
        <f>+F1119+G1119</f>
        <v>8000</v>
      </c>
      <c r="I1119" s="147"/>
      <c r="J1119" s="147">
        <f>+H1119+I1119</f>
        <v>8000</v>
      </c>
      <c r="K1119" s="147">
        <v>5174</v>
      </c>
      <c r="L1119" s="229">
        <v>15000</v>
      </c>
      <c r="M1119" s="335">
        <f t="shared" si="837"/>
        <v>0.875</v>
      </c>
      <c r="N1119" s="329">
        <f t="shared" si="851"/>
        <v>7000</v>
      </c>
    </row>
    <row r="1120" spans="1:14" s="150" customFormat="1" ht="14.1" customHeight="1">
      <c r="A1120" s="171"/>
      <c r="B1120" s="158"/>
      <c r="C1120" s="146" t="s">
        <v>408</v>
      </c>
      <c r="D1120" s="151">
        <v>11000</v>
      </c>
      <c r="E1120" s="147">
        <v>0</v>
      </c>
      <c r="F1120" s="229">
        <v>18000</v>
      </c>
      <c r="G1120" s="147"/>
      <c r="H1120" s="147">
        <f t="shared" ref="H1120:H1128" si="862">+F1120+G1120</f>
        <v>18000</v>
      </c>
      <c r="I1120" s="147"/>
      <c r="J1120" s="147">
        <f t="shared" ref="J1120:J1128" si="863">+H1120+I1120</f>
        <v>18000</v>
      </c>
      <c r="K1120" s="147">
        <v>20787</v>
      </c>
      <c r="L1120" s="229">
        <v>26000</v>
      </c>
      <c r="M1120" s="335">
        <f t="shared" si="837"/>
        <v>0.44444444444444442</v>
      </c>
      <c r="N1120" s="329">
        <f t="shared" si="851"/>
        <v>8000</v>
      </c>
    </row>
    <row r="1121" spans="1:14" s="150" customFormat="1" ht="14.1" customHeight="1">
      <c r="A1121" s="171"/>
      <c r="B1121" s="158"/>
      <c r="C1121" s="146" t="s">
        <v>409</v>
      </c>
      <c r="D1121" s="151">
        <v>1700</v>
      </c>
      <c r="E1121" s="147">
        <v>0</v>
      </c>
      <c r="F1121" s="229">
        <v>4000</v>
      </c>
      <c r="G1121" s="147"/>
      <c r="H1121" s="147">
        <f t="shared" si="862"/>
        <v>4000</v>
      </c>
      <c r="I1121" s="147"/>
      <c r="J1121" s="147">
        <f t="shared" si="863"/>
        <v>4000</v>
      </c>
      <c r="K1121" s="147">
        <v>2979</v>
      </c>
      <c r="L1121" s="229">
        <v>4006</v>
      </c>
      <c r="M1121" s="335">
        <f t="shared" si="837"/>
        <v>1.5E-3</v>
      </c>
      <c r="N1121" s="329">
        <f t="shared" si="851"/>
        <v>6</v>
      </c>
    </row>
    <row r="1122" spans="1:14" s="150" customFormat="1" ht="14.1" customHeight="1">
      <c r="A1122" s="171"/>
      <c r="B1122" s="158"/>
      <c r="C1122" s="146" t="s">
        <v>410</v>
      </c>
      <c r="D1122" s="151">
        <v>6700</v>
      </c>
      <c r="E1122" s="147">
        <v>16400</v>
      </c>
      <c r="F1122" s="229">
        <v>13000</v>
      </c>
      <c r="G1122" s="242">
        <v>2000</v>
      </c>
      <c r="H1122" s="147">
        <f t="shared" si="862"/>
        <v>15000</v>
      </c>
      <c r="I1122" s="147"/>
      <c r="J1122" s="147">
        <f t="shared" si="863"/>
        <v>15000</v>
      </c>
      <c r="K1122" s="147">
        <v>9423</v>
      </c>
      <c r="L1122" s="229">
        <v>15000</v>
      </c>
      <c r="M1122" s="335">
        <f t="shared" si="837"/>
        <v>0</v>
      </c>
      <c r="N1122" s="329">
        <f t="shared" si="851"/>
        <v>0</v>
      </c>
    </row>
    <row r="1123" spans="1:14" s="150" customFormat="1" ht="14.1" customHeight="1">
      <c r="A1123" s="171"/>
      <c r="B1123" s="158"/>
      <c r="C1123" s="146" t="s">
        <v>411</v>
      </c>
      <c r="D1123" s="151">
        <v>8000</v>
      </c>
      <c r="E1123" s="147">
        <v>11500</v>
      </c>
      <c r="F1123" s="229">
        <v>13200</v>
      </c>
      <c r="G1123" s="242">
        <v>1800</v>
      </c>
      <c r="H1123" s="147">
        <f t="shared" si="862"/>
        <v>15000</v>
      </c>
      <c r="I1123" s="147"/>
      <c r="J1123" s="147">
        <f t="shared" si="863"/>
        <v>15000</v>
      </c>
      <c r="K1123" s="147">
        <v>8289</v>
      </c>
      <c r="L1123" s="229">
        <v>15000</v>
      </c>
      <c r="M1123" s="335">
        <f t="shared" si="837"/>
        <v>0</v>
      </c>
      <c r="N1123" s="329">
        <f t="shared" si="851"/>
        <v>0</v>
      </c>
    </row>
    <row r="1124" spans="1:14" s="150" customFormat="1" ht="14.1" customHeight="1">
      <c r="A1124" s="171"/>
      <c r="B1124" s="158"/>
      <c r="C1124" s="146" t="s">
        <v>588</v>
      </c>
      <c r="D1124" s="151">
        <v>1910</v>
      </c>
      <c r="E1124" s="147">
        <v>0</v>
      </c>
      <c r="F1124" s="229">
        <v>3000</v>
      </c>
      <c r="G1124" s="147">
        <v>500</v>
      </c>
      <c r="H1124" s="147">
        <f t="shared" si="862"/>
        <v>3500</v>
      </c>
      <c r="I1124" s="147"/>
      <c r="J1124" s="147">
        <f t="shared" si="863"/>
        <v>3500</v>
      </c>
      <c r="K1124" s="147">
        <v>2547</v>
      </c>
      <c r="L1124" s="229">
        <v>4000</v>
      </c>
      <c r="M1124" s="335">
        <f t="shared" si="837"/>
        <v>0.14285714285714285</v>
      </c>
      <c r="N1124" s="329">
        <f t="shared" si="851"/>
        <v>500</v>
      </c>
    </row>
    <row r="1125" spans="1:14" s="150" customFormat="1" ht="14.1" customHeight="1">
      <c r="A1125" s="171"/>
      <c r="B1125" s="158"/>
      <c r="C1125" s="146" t="s">
        <v>414</v>
      </c>
      <c r="D1125" s="151"/>
      <c r="E1125" s="147">
        <v>0</v>
      </c>
      <c r="F1125" s="229">
        <v>0</v>
      </c>
      <c r="G1125" s="147"/>
      <c r="H1125" s="147">
        <f t="shared" si="862"/>
        <v>0</v>
      </c>
      <c r="I1125" s="147"/>
      <c r="J1125" s="147">
        <f t="shared" si="863"/>
        <v>0</v>
      </c>
      <c r="K1125" s="147">
        <v>10</v>
      </c>
      <c r="L1125" s="229"/>
      <c r="M1125" s="335" t="e">
        <f t="shared" si="837"/>
        <v>#DIV/0!</v>
      </c>
      <c r="N1125" s="329">
        <f t="shared" si="851"/>
        <v>0</v>
      </c>
    </row>
    <row r="1126" spans="1:14" s="150" customFormat="1" ht="14.1" customHeight="1">
      <c r="A1126" s="171"/>
      <c r="B1126" s="158"/>
      <c r="C1126" s="146" t="s">
        <v>582</v>
      </c>
      <c r="D1126" s="151">
        <v>0</v>
      </c>
      <c r="E1126" s="147">
        <v>0</v>
      </c>
      <c r="F1126" s="229">
        <v>0</v>
      </c>
      <c r="G1126" s="147"/>
      <c r="H1126" s="147">
        <f t="shared" si="862"/>
        <v>0</v>
      </c>
      <c r="I1126" s="147"/>
      <c r="J1126" s="147">
        <f t="shared" si="863"/>
        <v>0</v>
      </c>
      <c r="K1126" s="147"/>
      <c r="L1126" s="229"/>
      <c r="M1126" s="335" t="e">
        <f t="shared" si="837"/>
        <v>#DIV/0!</v>
      </c>
      <c r="N1126" s="329">
        <f t="shared" si="851"/>
        <v>0</v>
      </c>
    </row>
    <row r="1127" spans="1:14" s="150" customFormat="1" ht="14.1" customHeight="1">
      <c r="A1127" s="171"/>
      <c r="B1127" s="158"/>
      <c r="C1127" s="146" t="s">
        <v>413</v>
      </c>
      <c r="D1127" s="151">
        <v>24700</v>
      </c>
      <c r="E1127" s="147">
        <v>43926</v>
      </c>
      <c r="F1127" s="229">
        <v>43994</v>
      </c>
      <c r="G1127" s="147"/>
      <c r="H1127" s="147">
        <f t="shared" si="862"/>
        <v>43994</v>
      </c>
      <c r="I1127" s="147"/>
      <c r="J1127" s="147">
        <f t="shared" si="863"/>
        <v>43994</v>
      </c>
      <c r="K1127" s="147">
        <v>32996</v>
      </c>
      <c r="L1127" s="229">
        <v>43994</v>
      </c>
      <c r="M1127" s="335">
        <f t="shared" si="837"/>
        <v>0</v>
      </c>
      <c r="N1127" s="329">
        <f t="shared" si="851"/>
        <v>0</v>
      </c>
    </row>
    <row r="1128" spans="1:14" s="150" customFormat="1" ht="14.1" customHeight="1">
      <c r="A1128" s="171"/>
      <c r="B1128" s="158"/>
      <c r="C1128" s="146" t="s">
        <v>589</v>
      </c>
      <c r="D1128" s="151">
        <v>0</v>
      </c>
      <c r="E1128" s="147">
        <v>0</v>
      </c>
      <c r="F1128" s="229">
        <v>0</v>
      </c>
      <c r="G1128" s="147"/>
      <c r="H1128" s="147">
        <f t="shared" si="862"/>
        <v>0</v>
      </c>
      <c r="I1128" s="147"/>
      <c r="J1128" s="147">
        <f t="shared" si="863"/>
        <v>0</v>
      </c>
      <c r="K1128" s="147"/>
      <c r="L1128" s="229"/>
      <c r="M1128" s="335" t="e">
        <f t="shared" si="837"/>
        <v>#DIV/0!</v>
      </c>
      <c r="N1128" s="329">
        <f t="shared" si="851"/>
        <v>0</v>
      </c>
    </row>
    <row r="1129" spans="1:14" ht="14.1" customHeight="1">
      <c r="A1129" s="69"/>
      <c r="B1129" s="33">
        <v>5513</v>
      </c>
      <c r="C1129" s="34" t="s">
        <v>591</v>
      </c>
      <c r="D1129" s="52">
        <v>0</v>
      </c>
      <c r="E1129" s="17">
        <v>600</v>
      </c>
      <c r="F1129" s="226">
        <v>500</v>
      </c>
      <c r="G1129" s="17"/>
      <c r="H1129" s="17">
        <f>+F1129+G1129</f>
        <v>500</v>
      </c>
      <c r="I1129" s="17"/>
      <c r="J1129" s="17">
        <f>+H1129+I1129</f>
        <v>500</v>
      </c>
      <c r="K1129" s="17">
        <v>0</v>
      </c>
      <c r="L1129" s="226">
        <v>300</v>
      </c>
      <c r="M1129" s="335">
        <f t="shared" si="837"/>
        <v>-0.4</v>
      </c>
      <c r="N1129" s="329">
        <f t="shared" si="851"/>
        <v>-200</v>
      </c>
    </row>
    <row r="1130" spans="1:14" ht="14.1" customHeight="1">
      <c r="A1130" s="69"/>
      <c r="B1130" s="33">
        <v>5514</v>
      </c>
      <c r="C1130" s="34" t="s">
        <v>592</v>
      </c>
      <c r="D1130" s="52">
        <v>14390</v>
      </c>
      <c r="E1130" s="17">
        <v>5000</v>
      </c>
      <c r="F1130" s="226">
        <v>6500</v>
      </c>
      <c r="G1130" s="17"/>
      <c r="H1130" s="17">
        <f t="shared" ref="H1130:H1138" si="864">+F1130+G1130</f>
        <v>6500</v>
      </c>
      <c r="I1130" s="255">
        <v>500</v>
      </c>
      <c r="J1130" s="17">
        <f t="shared" ref="J1130:J1138" si="865">+H1130+I1130</f>
        <v>7000</v>
      </c>
      <c r="K1130" s="17">
        <v>3276</v>
      </c>
      <c r="L1130" s="226">
        <v>7300</v>
      </c>
      <c r="M1130" s="335">
        <f t="shared" si="837"/>
        <v>4.2857142857142858E-2</v>
      </c>
      <c r="N1130" s="329">
        <f t="shared" si="851"/>
        <v>300</v>
      </c>
    </row>
    <row r="1131" spans="1:14" ht="14.1" customHeight="1">
      <c r="A1131" s="69"/>
      <c r="B1131" s="33">
        <v>5515</v>
      </c>
      <c r="C1131" s="34" t="s">
        <v>593</v>
      </c>
      <c r="D1131" s="52">
        <v>18200</v>
      </c>
      <c r="E1131" s="17">
        <v>6000</v>
      </c>
      <c r="F1131" s="226">
        <v>6000</v>
      </c>
      <c r="G1131" s="17"/>
      <c r="H1131" s="17">
        <f t="shared" si="864"/>
        <v>6000</v>
      </c>
      <c r="I1131" s="17"/>
      <c r="J1131" s="17">
        <f t="shared" si="865"/>
        <v>6000</v>
      </c>
      <c r="K1131" s="17">
        <v>2793</v>
      </c>
      <c r="L1131" s="226">
        <v>6000</v>
      </c>
      <c r="M1131" s="335">
        <f t="shared" si="837"/>
        <v>0</v>
      </c>
      <c r="N1131" s="329">
        <f t="shared" si="851"/>
        <v>0</v>
      </c>
    </row>
    <row r="1132" spans="1:14" ht="14.1" customHeight="1">
      <c r="A1132" s="69"/>
      <c r="B1132" s="33">
        <v>5516</v>
      </c>
      <c r="C1132" s="34" t="s">
        <v>573</v>
      </c>
      <c r="D1132" s="52">
        <v>1000</v>
      </c>
      <c r="E1132" s="17">
        <v>0</v>
      </c>
      <c r="F1132" s="226">
        <v>13200</v>
      </c>
      <c r="G1132" s="17">
        <v>-3200</v>
      </c>
      <c r="H1132" s="17">
        <f t="shared" si="864"/>
        <v>10000</v>
      </c>
      <c r="I1132" s="17">
        <v>-4500</v>
      </c>
      <c r="J1132" s="17">
        <f t="shared" si="865"/>
        <v>5500</v>
      </c>
      <c r="K1132" s="17">
        <v>2560</v>
      </c>
      <c r="L1132" s="226">
        <v>7000</v>
      </c>
      <c r="M1132" s="335">
        <f t="shared" si="837"/>
        <v>0.27272727272727271</v>
      </c>
      <c r="N1132" s="329">
        <f t="shared" si="851"/>
        <v>1500</v>
      </c>
    </row>
    <row r="1133" spans="1:14" ht="14.1" customHeight="1">
      <c r="A1133" s="69"/>
      <c r="B1133" s="33">
        <v>5521</v>
      </c>
      <c r="C1133" s="34" t="s">
        <v>418</v>
      </c>
      <c r="D1133" s="52">
        <v>88200</v>
      </c>
      <c r="E1133" s="17">
        <v>75659</v>
      </c>
      <c r="F1133" s="226">
        <v>80000</v>
      </c>
      <c r="G1133" s="17">
        <v>10000</v>
      </c>
      <c r="H1133" s="17">
        <f t="shared" si="864"/>
        <v>90000</v>
      </c>
      <c r="I1133" s="17"/>
      <c r="J1133" s="17">
        <f t="shared" si="865"/>
        <v>90000</v>
      </c>
      <c r="K1133" s="17">
        <v>63458</v>
      </c>
      <c r="L1133" s="226">
        <v>92000</v>
      </c>
      <c r="M1133" s="335">
        <f t="shared" si="837"/>
        <v>2.2222222222222223E-2</v>
      </c>
      <c r="N1133" s="329">
        <f t="shared" si="851"/>
        <v>2000</v>
      </c>
    </row>
    <row r="1134" spans="1:14" ht="14.1" customHeight="1">
      <c r="A1134" s="69"/>
      <c r="B1134" s="33">
        <v>5522</v>
      </c>
      <c r="C1134" s="34" t="s">
        <v>262</v>
      </c>
      <c r="D1134" s="52">
        <v>1000</v>
      </c>
      <c r="E1134" s="17">
        <v>500</v>
      </c>
      <c r="F1134" s="226">
        <v>4000</v>
      </c>
      <c r="G1134" s="17"/>
      <c r="H1134" s="17">
        <f t="shared" si="864"/>
        <v>4000</v>
      </c>
      <c r="I1134" s="17"/>
      <c r="J1134" s="17">
        <f t="shared" si="865"/>
        <v>4000</v>
      </c>
      <c r="K1134" s="17">
        <v>1300</v>
      </c>
      <c r="L1134" s="226">
        <v>2800</v>
      </c>
      <c r="M1134" s="335">
        <f t="shared" si="837"/>
        <v>-0.3</v>
      </c>
      <c r="N1134" s="329">
        <f t="shared" si="851"/>
        <v>-1200</v>
      </c>
    </row>
    <row r="1135" spans="1:14" ht="14.1" customHeight="1">
      <c r="A1135" s="69"/>
      <c r="B1135" s="33">
        <v>5524</v>
      </c>
      <c r="C1135" s="34" t="s">
        <v>577</v>
      </c>
      <c r="D1135" s="52">
        <v>27630</v>
      </c>
      <c r="E1135" s="17">
        <v>22000</v>
      </c>
      <c r="F1135" s="226">
        <v>24000</v>
      </c>
      <c r="G1135" s="17"/>
      <c r="H1135" s="17">
        <f t="shared" si="864"/>
        <v>24000</v>
      </c>
      <c r="I1135" s="255">
        <f>500+540</f>
        <v>1040</v>
      </c>
      <c r="J1135" s="17">
        <f t="shared" si="865"/>
        <v>25040</v>
      </c>
      <c r="K1135" s="17">
        <v>14899</v>
      </c>
      <c r="L1135" s="226">
        <v>24000</v>
      </c>
      <c r="M1135" s="335">
        <f t="shared" ref="M1135:M1199" si="866">(L1135-J1135)/J1135</f>
        <v>-4.1533546325878593E-2</v>
      </c>
      <c r="N1135" s="329">
        <f t="shared" si="851"/>
        <v>-1040</v>
      </c>
    </row>
    <row r="1136" spans="1:14" ht="14.1" customHeight="1">
      <c r="A1136" s="69"/>
      <c r="B1136" s="33">
        <v>5525</v>
      </c>
      <c r="C1136" s="34" t="s">
        <v>264</v>
      </c>
      <c r="D1136" s="52">
        <v>1000</v>
      </c>
      <c r="E1136" s="17">
        <v>3700</v>
      </c>
      <c r="F1136" s="226">
        <v>3000</v>
      </c>
      <c r="G1136" s="17"/>
      <c r="H1136" s="17">
        <f t="shared" si="864"/>
        <v>3000</v>
      </c>
      <c r="I1136" s="17"/>
      <c r="J1136" s="17">
        <f t="shared" si="865"/>
        <v>3000</v>
      </c>
      <c r="K1136" s="17">
        <v>2077</v>
      </c>
      <c r="L1136" s="226">
        <v>3000</v>
      </c>
      <c r="M1136" s="335">
        <f t="shared" si="866"/>
        <v>0</v>
      </c>
      <c r="N1136" s="329">
        <f t="shared" si="851"/>
        <v>0</v>
      </c>
    </row>
    <row r="1137" spans="1:14" ht="14.1" customHeight="1">
      <c r="A1137" s="69"/>
      <c r="B1137" s="33">
        <v>5532</v>
      </c>
      <c r="C1137" s="34" t="s">
        <v>595</v>
      </c>
      <c r="D1137" s="52"/>
      <c r="E1137" s="17">
        <v>0</v>
      </c>
      <c r="F1137" s="226">
        <v>1000</v>
      </c>
      <c r="G1137" s="17"/>
      <c r="H1137" s="17">
        <f t="shared" si="864"/>
        <v>1000</v>
      </c>
      <c r="I1137" s="17"/>
      <c r="J1137" s="17">
        <f t="shared" si="865"/>
        <v>1000</v>
      </c>
      <c r="K1137" s="17"/>
      <c r="L1137" s="226">
        <v>500</v>
      </c>
      <c r="M1137" s="335">
        <f t="shared" si="866"/>
        <v>-0.5</v>
      </c>
      <c r="N1137" s="329">
        <f t="shared" si="851"/>
        <v>-500</v>
      </c>
    </row>
    <row r="1138" spans="1:14" ht="14.1" customHeight="1">
      <c r="A1138" s="32"/>
      <c r="B1138" s="33">
        <v>5540</v>
      </c>
      <c r="C1138" s="34" t="s">
        <v>348</v>
      </c>
      <c r="D1138" s="52">
        <v>2200</v>
      </c>
      <c r="E1138" s="17">
        <v>3000</v>
      </c>
      <c r="F1138" s="226">
        <v>4400</v>
      </c>
      <c r="G1138" s="17">
        <v>-400</v>
      </c>
      <c r="H1138" s="17">
        <f t="shared" si="864"/>
        <v>4000</v>
      </c>
      <c r="I1138" s="17"/>
      <c r="J1138" s="17">
        <f t="shared" si="865"/>
        <v>4000</v>
      </c>
      <c r="K1138" s="17">
        <v>1177</v>
      </c>
      <c r="L1138" s="226">
        <v>3000</v>
      </c>
      <c r="M1138" s="335">
        <f t="shared" si="866"/>
        <v>-0.25</v>
      </c>
      <c r="N1138" s="329">
        <f t="shared" si="851"/>
        <v>-1000</v>
      </c>
    </row>
    <row r="1139" spans="1:14" ht="14.1" customHeight="1">
      <c r="A1139" s="45" t="s">
        <v>596</v>
      </c>
      <c r="B1139" s="46"/>
      <c r="C1139" s="47" t="s">
        <v>597</v>
      </c>
      <c r="D1139" s="53">
        <v>370000</v>
      </c>
      <c r="E1139" s="54">
        <v>438000</v>
      </c>
      <c r="F1139" s="54">
        <f t="shared" ref="F1139:L1139" si="867">+F1140</f>
        <v>450000</v>
      </c>
      <c r="G1139" s="54">
        <f t="shared" si="867"/>
        <v>0</v>
      </c>
      <c r="H1139" s="54">
        <f t="shared" si="867"/>
        <v>450000</v>
      </c>
      <c r="I1139" s="54">
        <f t="shared" si="867"/>
        <v>192480</v>
      </c>
      <c r="J1139" s="54">
        <f t="shared" si="867"/>
        <v>642480</v>
      </c>
      <c r="K1139" s="54">
        <f t="shared" si="867"/>
        <v>536649</v>
      </c>
      <c r="L1139" s="54">
        <f t="shared" si="867"/>
        <v>700000</v>
      </c>
      <c r="M1139" s="335">
        <f t="shared" si="866"/>
        <v>8.9528078695056662E-2</v>
      </c>
      <c r="N1139" s="329">
        <f t="shared" si="851"/>
        <v>57520</v>
      </c>
    </row>
    <row r="1140" spans="1:14" ht="14.1" customHeight="1">
      <c r="A1140" s="32"/>
      <c r="B1140" s="38" t="s">
        <v>212</v>
      </c>
      <c r="C1140" s="39" t="s">
        <v>213</v>
      </c>
      <c r="D1140" s="52">
        <v>370000</v>
      </c>
      <c r="E1140" s="137">
        <v>438000</v>
      </c>
      <c r="F1140" s="137">
        <f>F1141+F1142</f>
        <v>450000</v>
      </c>
      <c r="G1140" s="137">
        <f t="shared" ref="G1140:H1140" si="868">G1141+G1142</f>
        <v>0</v>
      </c>
      <c r="H1140" s="137">
        <f t="shared" si="868"/>
        <v>450000</v>
      </c>
      <c r="I1140" s="137">
        <f t="shared" ref="I1140:J1140" si="869">I1141+I1142</f>
        <v>192480</v>
      </c>
      <c r="J1140" s="137">
        <f t="shared" si="869"/>
        <v>642480</v>
      </c>
      <c r="K1140" s="137">
        <f t="shared" ref="K1140" si="870">K1141+K1142</f>
        <v>536649</v>
      </c>
      <c r="L1140" s="137">
        <f>L1141+L1142</f>
        <v>700000</v>
      </c>
      <c r="M1140" s="335">
        <f t="shared" si="866"/>
        <v>8.9528078695056662E-2</v>
      </c>
      <c r="N1140" s="329">
        <f t="shared" si="851"/>
        <v>57520</v>
      </c>
    </row>
    <row r="1141" spans="1:14" ht="14.1" customHeight="1">
      <c r="A1141" s="32"/>
      <c r="B1141" s="33">
        <v>5514</v>
      </c>
      <c r="C1141" s="34" t="s">
        <v>508</v>
      </c>
      <c r="D1141" s="52"/>
      <c r="E1141" s="95">
        <v>0</v>
      </c>
      <c r="F1141" s="95">
        <v>4100</v>
      </c>
      <c r="G1141" s="17"/>
      <c r="H1141" s="17">
        <f>+F1141+G1141</f>
        <v>4100</v>
      </c>
      <c r="I1141" s="143">
        <v>2380</v>
      </c>
      <c r="J1141" s="17">
        <f>+H1141+I1141</f>
        <v>6480</v>
      </c>
      <c r="K1141" s="17">
        <v>5099</v>
      </c>
      <c r="L1141" s="17">
        <v>7000</v>
      </c>
      <c r="M1141" s="335">
        <f t="shared" si="866"/>
        <v>8.0246913580246909E-2</v>
      </c>
      <c r="N1141" s="329">
        <f t="shared" si="851"/>
        <v>520</v>
      </c>
    </row>
    <row r="1142" spans="1:14" ht="14.1" customHeight="1">
      <c r="A1142" s="32"/>
      <c r="B1142" s="33">
        <v>5524</v>
      </c>
      <c r="C1142" s="34" t="s">
        <v>598</v>
      </c>
      <c r="D1142" s="52"/>
      <c r="E1142" s="95">
        <v>0</v>
      </c>
      <c r="F1142" s="95">
        <v>445900</v>
      </c>
      <c r="G1142" s="17"/>
      <c r="H1142" s="17">
        <f>+F1142+G1142</f>
        <v>445900</v>
      </c>
      <c r="I1142" s="94">
        <v>190100</v>
      </c>
      <c r="J1142" s="17">
        <f>+H1142+I1142</f>
        <v>636000</v>
      </c>
      <c r="K1142" s="17">
        <v>531550</v>
      </c>
      <c r="L1142" s="17">
        <v>693000</v>
      </c>
      <c r="M1142" s="335">
        <f t="shared" si="866"/>
        <v>8.9622641509433956E-2</v>
      </c>
      <c r="N1142" s="329">
        <f t="shared" si="851"/>
        <v>57000</v>
      </c>
    </row>
    <row r="1143" spans="1:14" ht="14.1" customHeight="1">
      <c r="A1143" s="45" t="s">
        <v>51</v>
      </c>
      <c r="B1143" s="46"/>
      <c r="C1143" s="47" t="s">
        <v>599</v>
      </c>
      <c r="D1143" s="53">
        <v>537579</v>
      </c>
      <c r="E1143" s="50">
        <v>597304</v>
      </c>
      <c r="F1143" s="50">
        <f t="shared" ref="F1143" si="871">+F1144+F1145</f>
        <v>656500</v>
      </c>
      <c r="G1143" s="238">
        <f t="shared" ref="G1143:H1143" si="872">+G1144+G1145</f>
        <v>-18900</v>
      </c>
      <c r="H1143" s="238">
        <f t="shared" si="872"/>
        <v>637600</v>
      </c>
      <c r="I1143" s="238">
        <f t="shared" ref="I1143:J1143" si="873">+I1144+I1145</f>
        <v>-20925</v>
      </c>
      <c r="J1143" s="238">
        <f t="shared" si="873"/>
        <v>616675</v>
      </c>
      <c r="K1143" s="238">
        <f t="shared" ref="K1143:L1143" si="874">+K1144+K1145</f>
        <v>458459</v>
      </c>
      <c r="L1143" s="238">
        <f t="shared" si="874"/>
        <v>757200</v>
      </c>
      <c r="M1143" s="335">
        <f t="shared" si="866"/>
        <v>0.22787529898244618</v>
      </c>
      <c r="N1143" s="329">
        <f t="shared" si="851"/>
        <v>140525</v>
      </c>
    </row>
    <row r="1144" spans="1:14" ht="14.1" customHeight="1">
      <c r="A1144" s="32"/>
      <c r="B1144" s="38" t="s">
        <v>210</v>
      </c>
      <c r="C1144" s="39" t="s">
        <v>211</v>
      </c>
      <c r="D1144" s="51">
        <v>439174</v>
      </c>
      <c r="E1144" s="143">
        <v>460804</v>
      </c>
      <c r="F1144" s="226">
        <v>527043</v>
      </c>
      <c r="G1144" s="143"/>
      <c r="H1144" s="143">
        <f>+F1144+G1144</f>
        <v>527043</v>
      </c>
      <c r="I1144" s="321">
        <v>-16000</v>
      </c>
      <c r="J1144" s="143">
        <f>+H1144+I1144</f>
        <v>511043</v>
      </c>
      <c r="K1144" s="143">
        <v>372206</v>
      </c>
      <c r="L1144" s="225">
        <v>592200</v>
      </c>
      <c r="M1144" s="335">
        <f t="shared" si="866"/>
        <v>0.15880659748788262</v>
      </c>
      <c r="N1144" s="329">
        <f t="shared" si="851"/>
        <v>81157</v>
      </c>
    </row>
    <row r="1145" spans="1:14" ht="14.1" customHeight="1">
      <c r="A1145" s="32"/>
      <c r="B1145" s="38" t="s">
        <v>212</v>
      </c>
      <c r="C1145" s="39" t="s">
        <v>213</v>
      </c>
      <c r="D1145" s="51">
        <v>98405</v>
      </c>
      <c r="E1145" s="138">
        <v>136500</v>
      </c>
      <c r="F1145" s="138">
        <f t="shared" ref="F1145:I1145" si="875">+F1146+F1147+F1148+F1160+F1161+F1162+F1164+F1165+F1166+F1167+F1168+F1163</f>
        <v>129457</v>
      </c>
      <c r="G1145" s="138">
        <f t="shared" si="875"/>
        <v>-18900</v>
      </c>
      <c r="H1145" s="138">
        <f t="shared" si="875"/>
        <v>110557</v>
      </c>
      <c r="I1145" s="138">
        <f t="shared" si="875"/>
        <v>-4925</v>
      </c>
      <c r="J1145" s="137">
        <f t="shared" ref="J1145:K1145" si="876">+J1146+J1147+J1148+J1160+J1161+J1162+J1164+J1165+J1166+J1167+J1168+J1163+J1159</f>
        <v>105632</v>
      </c>
      <c r="K1145" s="137">
        <f t="shared" si="876"/>
        <v>86253</v>
      </c>
      <c r="L1145" s="137">
        <f>+L1146+L1147+L1148+L1160+L1161+L1162+L1164+L1165+L1166+L1167+L1168+L1163+L1159</f>
        <v>165000</v>
      </c>
      <c r="M1145" s="335">
        <f t="shared" si="866"/>
        <v>0.56202665858830658</v>
      </c>
      <c r="N1145" s="329">
        <f t="shared" si="851"/>
        <v>59368</v>
      </c>
    </row>
    <row r="1146" spans="1:14" ht="14.1" customHeight="1">
      <c r="A1146" s="32"/>
      <c r="B1146" s="33">
        <v>5500</v>
      </c>
      <c r="C1146" s="34" t="s">
        <v>327</v>
      </c>
      <c r="D1146" s="52">
        <v>1760</v>
      </c>
      <c r="E1146" s="17">
        <v>1800</v>
      </c>
      <c r="F1146" s="226">
        <v>2100</v>
      </c>
      <c r="G1146" s="17">
        <v>-100</v>
      </c>
      <c r="H1146" s="17">
        <f>+F1146+G1146</f>
        <v>2000</v>
      </c>
      <c r="I1146" s="17"/>
      <c r="J1146" s="17">
        <f>+H1146+I1146</f>
        <v>2000</v>
      </c>
      <c r="K1146" s="17">
        <v>813</v>
      </c>
      <c r="L1146" s="226">
        <v>2800</v>
      </c>
      <c r="M1146" s="335">
        <f>(L1146-J1146)/J1146</f>
        <v>0.4</v>
      </c>
      <c r="N1146" s="329">
        <f t="shared" si="851"/>
        <v>800</v>
      </c>
    </row>
    <row r="1147" spans="1:14" ht="14.1" customHeight="1">
      <c r="A1147" s="32"/>
      <c r="B1147" s="33">
        <v>5504</v>
      </c>
      <c r="C1147" s="34" t="s">
        <v>230</v>
      </c>
      <c r="D1147" s="52">
        <v>2415</v>
      </c>
      <c r="E1147" s="17">
        <v>3900</v>
      </c>
      <c r="F1147" s="226">
        <v>2750</v>
      </c>
      <c r="G1147" s="17"/>
      <c r="H1147" s="17">
        <f>+F1147+G1147</f>
        <v>2750</v>
      </c>
      <c r="I1147" s="17"/>
      <c r="J1147" s="17">
        <f>+H1147+I1147</f>
        <v>2750</v>
      </c>
      <c r="K1147" s="17">
        <v>2788</v>
      </c>
      <c r="L1147" s="226">
        <v>2750</v>
      </c>
      <c r="M1147" s="335">
        <f t="shared" si="866"/>
        <v>0</v>
      </c>
      <c r="N1147" s="329">
        <f t="shared" si="851"/>
        <v>0</v>
      </c>
    </row>
    <row r="1148" spans="1:14" ht="14.1" customHeight="1">
      <c r="A1148" s="32"/>
      <c r="B1148" s="33">
        <v>5511</v>
      </c>
      <c r="C1148" s="34" t="s">
        <v>600</v>
      </c>
      <c r="D1148" s="52">
        <v>50990</v>
      </c>
      <c r="E1148" s="95">
        <v>71444</v>
      </c>
      <c r="F1148" s="224">
        <f t="shared" ref="F1148:L1148" si="877">SUM(F1149:F1158)</f>
        <v>71507</v>
      </c>
      <c r="G1148" s="17">
        <f t="shared" si="877"/>
        <v>-16000</v>
      </c>
      <c r="H1148" s="95">
        <f t="shared" si="877"/>
        <v>55507</v>
      </c>
      <c r="I1148" s="17">
        <f t="shared" si="877"/>
        <v>-500</v>
      </c>
      <c r="J1148" s="95">
        <f t="shared" si="877"/>
        <v>55007</v>
      </c>
      <c r="K1148" s="95">
        <f t="shared" si="877"/>
        <v>44086</v>
      </c>
      <c r="L1148" s="95">
        <f t="shared" si="877"/>
        <v>82950</v>
      </c>
      <c r="M1148" s="335">
        <f t="shared" si="866"/>
        <v>0.50798989219553869</v>
      </c>
      <c r="N1148" s="329">
        <f t="shared" si="851"/>
        <v>27943</v>
      </c>
    </row>
    <row r="1149" spans="1:14" s="142" customFormat="1" ht="14.1" customHeight="1">
      <c r="A1149" s="144"/>
      <c r="B1149" s="145"/>
      <c r="C1149" s="146" t="s">
        <v>407</v>
      </c>
      <c r="D1149" s="151">
        <v>0</v>
      </c>
      <c r="E1149" s="147">
        <v>44000</v>
      </c>
      <c r="F1149" s="229">
        <v>45000</v>
      </c>
      <c r="G1149" s="147">
        <v>-10000</v>
      </c>
      <c r="H1149" s="147">
        <f t="shared" ref="H1149:H1158" si="878">+G1149+F1149</f>
        <v>35000</v>
      </c>
      <c r="I1149" s="147"/>
      <c r="J1149" s="147">
        <f t="shared" ref="J1149:J1158" si="879">+I1149+H1149</f>
        <v>35000</v>
      </c>
      <c r="K1149" s="147">
        <v>26928</v>
      </c>
      <c r="L1149" s="229">
        <v>50000</v>
      </c>
      <c r="M1149" s="335">
        <f t="shared" si="866"/>
        <v>0.42857142857142855</v>
      </c>
      <c r="N1149" s="329">
        <f t="shared" si="851"/>
        <v>15000</v>
      </c>
    </row>
    <row r="1150" spans="1:14" s="142" customFormat="1" ht="14.1" customHeight="1">
      <c r="A1150" s="144"/>
      <c r="B1150" s="145"/>
      <c r="C1150" s="146" t="s">
        <v>408</v>
      </c>
      <c r="D1150" s="151">
        <v>0</v>
      </c>
      <c r="E1150" s="147">
        <v>6600</v>
      </c>
      <c r="F1150" s="229">
        <v>10000</v>
      </c>
      <c r="G1150" s="147">
        <v>-2000</v>
      </c>
      <c r="H1150" s="147">
        <f t="shared" si="878"/>
        <v>8000</v>
      </c>
      <c r="I1150" s="147"/>
      <c r="J1150" s="147">
        <f t="shared" si="879"/>
        <v>8000</v>
      </c>
      <c r="K1150" s="147">
        <v>6813</v>
      </c>
      <c r="L1150" s="229">
        <v>7500</v>
      </c>
      <c r="M1150" s="335">
        <f t="shared" si="866"/>
        <v>-6.25E-2</v>
      </c>
      <c r="N1150" s="329">
        <f t="shared" si="851"/>
        <v>-500</v>
      </c>
    </row>
    <row r="1151" spans="1:14" s="142" customFormat="1" ht="14.1" customHeight="1">
      <c r="A1151" s="144"/>
      <c r="B1151" s="145"/>
      <c r="C1151" s="146" t="s">
        <v>409</v>
      </c>
      <c r="D1151" s="151">
        <v>0</v>
      </c>
      <c r="E1151" s="147">
        <v>2600</v>
      </c>
      <c r="F1151" s="229">
        <v>4000</v>
      </c>
      <c r="G1151" s="147">
        <v>-1000</v>
      </c>
      <c r="H1151" s="147">
        <f t="shared" si="878"/>
        <v>3000</v>
      </c>
      <c r="I1151" s="147">
        <v>-500</v>
      </c>
      <c r="J1151" s="147">
        <f t="shared" si="879"/>
        <v>2500</v>
      </c>
      <c r="K1151" s="147">
        <v>1840</v>
      </c>
      <c r="L1151" s="229">
        <v>3000</v>
      </c>
      <c r="M1151" s="335">
        <f t="shared" si="866"/>
        <v>0.2</v>
      </c>
      <c r="N1151" s="329">
        <f t="shared" si="851"/>
        <v>500</v>
      </c>
    </row>
    <row r="1152" spans="1:14" s="142" customFormat="1" ht="14.1" customHeight="1">
      <c r="A1152" s="144"/>
      <c r="B1152" s="145"/>
      <c r="C1152" s="146" t="s">
        <v>410</v>
      </c>
      <c r="D1152" s="151">
        <v>0</v>
      </c>
      <c r="E1152" s="147">
        <v>2200</v>
      </c>
      <c r="F1152" s="229">
        <v>2500</v>
      </c>
      <c r="G1152" s="147">
        <v>1500</v>
      </c>
      <c r="H1152" s="147">
        <f t="shared" si="878"/>
        <v>4000</v>
      </c>
      <c r="I1152" s="147"/>
      <c r="J1152" s="147">
        <f t="shared" si="879"/>
        <v>4000</v>
      </c>
      <c r="K1152" s="147">
        <v>3119</v>
      </c>
      <c r="L1152" s="229">
        <v>6000</v>
      </c>
      <c r="M1152" s="335">
        <f t="shared" si="866"/>
        <v>0.5</v>
      </c>
      <c r="N1152" s="329">
        <f t="shared" si="851"/>
        <v>2000</v>
      </c>
    </row>
    <row r="1153" spans="1:14" s="142" customFormat="1" ht="14.1" customHeight="1">
      <c r="A1153" s="144"/>
      <c r="B1153" s="145"/>
      <c r="C1153" s="146" t="s">
        <v>581</v>
      </c>
      <c r="D1153" s="151">
        <v>0</v>
      </c>
      <c r="E1153" s="147">
        <v>4100</v>
      </c>
      <c r="F1153" s="229">
        <v>4500</v>
      </c>
      <c r="G1153" s="147">
        <v>500</v>
      </c>
      <c r="H1153" s="147">
        <f t="shared" si="878"/>
        <v>5000</v>
      </c>
      <c r="I1153" s="147"/>
      <c r="J1153" s="147">
        <f t="shared" si="879"/>
        <v>5000</v>
      </c>
      <c r="K1153" s="147">
        <v>4335</v>
      </c>
      <c r="L1153" s="229">
        <v>5000</v>
      </c>
      <c r="M1153" s="335">
        <f t="shared" si="866"/>
        <v>0</v>
      </c>
      <c r="N1153" s="329">
        <f t="shared" si="851"/>
        <v>0</v>
      </c>
    </row>
    <row r="1154" spans="1:14" s="142" customFormat="1" ht="14.1" customHeight="1">
      <c r="A1154" s="144"/>
      <c r="B1154" s="145"/>
      <c r="C1154" s="146" t="s">
        <v>588</v>
      </c>
      <c r="D1154" s="151">
        <v>0</v>
      </c>
      <c r="E1154" s="147">
        <v>400</v>
      </c>
      <c r="F1154" s="229">
        <v>500</v>
      </c>
      <c r="G1154" s="147"/>
      <c r="H1154" s="147">
        <f>+G1154+F1154</f>
        <v>500</v>
      </c>
      <c r="I1154" s="147"/>
      <c r="J1154" s="147">
        <f>+I1154+H1154</f>
        <v>500</v>
      </c>
      <c r="K1154" s="147">
        <v>324</v>
      </c>
      <c r="L1154" s="229">
        <v>2000</v>
      </c>
      <c r="M1154" s="335">
        <f t="shared" si="866"/>
        <v>3</v>
      </c>
      <c r="N1154" s="329">
        <f t="shared" si="851"/>
        <v>1500</v>
      </c>
    </row>
    <row r="1155" spans="1:14" s="142" customFormat="1" ht="14.1" customHeight="1">
      <c r="A1155" s="144"/>
      <c r="B1155" s="145"/>
      <c r="C1155" s="146" t="s">
        <v>414</v>
      </c>
      <c r="D1155" s="151">
        <v>0</v>
      </c>
      <c r="E1155" s="147">
        <v>11544</v>
      </c>
      <c r="F1155" s="229">
        <v>5000</v>
      </c>
      <c r="G1155" s="147">
        <v>-5000</v>
      </c>
      <c r="H1155" s="147">
        <f t="shared" si="878"/>
        <v>0</v>
      </c>
      <c r="I1155" s="147"/>
      <c r="J1155" s="147">
        <f t="shared" si="879"/>
        <v>0</v>
      </c>
      <c r="K1155" s="147"/>
      <c r="L1155" s="229">
        <v>1000</v>
      </c>
      <c r="M1155" s="335" t="e">
        <f t="shared" si="866"/>
        <v>#DIV/0!</v>
      </c>
      <c r="N1155" s="329">
        <f t="shared" si="851"/>
        <v>1000</v>
      </c>
    </row>
    <row r="1156" spans="1:14" s="142" customFormat="1" ht="14.1" customHeight="1">
      <c r="A1156" s="144"/>
      <c r="B1156" s="145"/>
      <c r="C1156" s="146" t="s">
        <v>601</v>
      </c>
      <c r="D1156" s="151">
        <v>0</v>
      </c>
      <c r="E1156" s="147">
        <v>0</v>
      </c>
      <c r="F1156" s="229">
        <v>7</v>
      </c>
      <c r="G1156" s="147"/>
      <c r="H1156" s="147">
        <f t="shared" si="878"/>
        <v>7</v>
      </c>
      <c r="I1156" s="147"/>
      <c r="J1156" s="147">
        <f t="shared" si="879"/>
        <v>7</v>
      </c>
      <c r="K1156" s="147">
        <v>7</v>
      </c>
      <c r="L1156" s="229">
        <v>540</v>
      </c>
      <c r="M1156" s="335">
        <f t="shared" si="866"/>
        <v>76.142857142857139</v>
      </c>
      <c r="N1156" s="329">
        <f t="shared" si="851"/>
        <v>533</v>
      </c>
    </row>
    <row r="1157" spans="1:14" s="142" customFormat="1" ht="14.1" customHeight="1">
      <c r="A1157" s="144"/>
      <c r="B1157" s="145"/>
      <c r="C1157" s="146" t="s">
        <v>589</v>
      </c>
      <c r="D1157" s="151">
        <v>0</v>
      </c>
      <c r="E1157" s="147">
        <v>0</v>
      </c>
      <c r="F1157" s="229">
        <v>0</v>
      </c>
      <c r="G1157" s="147"/>
      <c r="H1157" s="147">
        <f t="shared" si="878"/>
        <v>0</v>
      </c>
      <c r="I1157" s="147"/>
      <c r="J1157" s="147">
        <f t="shared" si="879"/>
        <v>0</v>
      </c>
      <c r="K1157" s="147">
        <v>720</v>
      </c>
      <c r="L1157" s="229"/>
      <c r="M1157" s="335" t="e">
        <f t="shared" si="866"/>
        <v>#DIV/0!</v>
      </c>
      <c r="N1157" s="329">
        <f t="shared" si="851"/>
        <v>0</v>
      </c>
    </row>
    <row r="1158" spans="1:14" s="142" customFormat="1" ht="14.1" customHeight="1">
      <c r="A1158" s="144"/>
      <c r="B1158" s="145"/>
      <c r="C1158" s="146" t="s">
        <v>590</v>
      </c>
      <c r="D1158" s="151">
        <v>0</v>
      </c>
      <c r="E1158" s="147">
        <v>0</v>
      </c>
      <c r="F1158" s="229">
        <v>0</v>
      </c>
      <c r="G1158" s="242">
        <v>0</v>
      </c>
      <c r="H1158" s="147">
        <f t="shared" si="878"/>
        <v>0</v>
      </c>
      <c r="I1158" s="147"/>
      <c r="J1158" s="147">
        <f t="shared" si="879"/>
        <v>0</v>
      </c>
      <c r="K1158" s="147"/>
      <c r="L1158" s="229">
        <v>7910</v>
      </c>
      <c r="M1158" s="335" t="e">
        <f t="shared" si="866"/>
        <v>#DIV/0!</v>
      </c>
      <c r="N1158" s="329">
        <f t="shared" ref="N1158:N1221" si="880">L1158-J1158</f>
        <v>7910</v>
      </c>
    </row>
    <row r="1159" spans="1:14" s="142" customFormat="1" ht="14.1" customHeight="1">
      <c r="A1159" s="144"/>
      <c r="B1159" s="145">
        <v>5512</v>
      </c>
      <c r="C1159" s="34" t="s">
        <v>344</v>
      </c>
      <c r="D1159" s="151"/>
      <c r="E1159" s="147"/>
      <c r="F1159" s="229"/>
      <c r="G1159" s="242"/>
      <c r="H1159" s="147"/>
      <c r="I1159" s="147"/>
      <c r="J1159" s="147"/>
      <c r="K1159" s="147"/>
      <c r="L1159" s="226">
        <v>200</v>
      </c>
      <c r="M1159" s="335"/>
      <c r="N1159" s="329">
        <f t="shared" si="880"/>
        <v>200</v>
      </c>
    </row>
    <row r="1160" spans="1:14" ht="14.1" customHeight="1">
      <c r="A1160" s="32"/>
      <c r="B1160" s="33">
        <v>5513</v>
      </c>
      <c r="C1160" s="34" t="s">
        <v>435</v>
      </c>
      <c r="D1160" s="52">
        <v>1080</v>
      </c>
      <c r="E1160" s="17">
        <v>800</v>
      </c>
      <c r="F1160" s="226">
        <v>600</v>
      </c>
      <c r="G1160" s="194">
        <v>700</v>
      </c>
      <c r="H1160" s="17">
        <f>+F1160+G1160</f>
        <v>1300</v>
      </c>
      <c r="I1160" s="17"/>
      <c r="J1160" s="17">
        <f>+H1160+I1160</f>
        <v>1300</v>
      </c>
      <c r="K1160" s="17">
        <v>955</v>
      </c>
      <c r="L1160" s="226">
        <v>800</v>
      </c>
      <c r="M1160" s="335">
        <f t="shared" si="866"/>
        <v>-0.38461538461538464</v>
      </c>
      <c r="N1160" s="329">
        <f t="shared" si="880"/>
        <v>-500</v>
      </c>
    </row>
    <row r="1161" spans="1:14" ht="14.1" customHeight="1">
      <c r="A1161" s="32"/>
      <c r="B1161" s="33">
        <v>5514</v>
      </c>
      <c r="C1161" s="34" t="s">
        <v>508</v>
      </c>
      <c r="D1161" s="52">
        <v>1750</v>
      </c>
      <c r="E1161" s="17">
        <v>5000</v>
      </c>
      <c r="F1161" s="226">
        <v>5000</v>
      </c>
      <c r="G1161" s="17"/>
      <c r="H1161" s="17">
        <f t="shared" ref="H1161:H1168" si="881">+F1161+G1161</f>
        <v>5000</v>
      </c>
      <c r="I1161" s="17"/>
      <c r="J1161" s="17">
        <f t="shared" ref="J1161:J1168" si="882">+H1161+I1161</f>
        <v>5000</v>
      </c>
      <c r="K1161" s="17">
        <v>4650</v>
      </c>
      <c r="L1161" s="226">
        <v>6500</v>
      </c>
      <c r="M1161" s="335">
        <f t="shared" si="866"/>
        <v>0.3</v>
      </c>
      <c r="N1161" s="329">
        <f t="shared" si="880"/>
        <v>1500</v>
      </c>
    </row>
    <row r="1162" spans="1:14" ht="14.1" customHeight="1">
      <c r="A1162" s="32"/>
      <c r="B1162" s="33">
        <v>5515</v>
      </c>
      <c r="C1162" s="34" t="s">
        <v>509</v>
      </c>
      <c r="D1162" s="52">
        <v>4250</v>
      </c>
      <c r="E1162" s="17">
        <v>16456</v>
      </c>
      <c r="F1162" s="226">
        <v>4000</v>
      </c>
      <c r="G1162" s="194">
        <v>-3000</v>
      </c>
      <c r="H1162" s="17">
        <f t="shared" si="881"/>
        <v>1000</v>
      </c>
      <c r="I1162" s="143">
        <f>3300+900</f>
        <v>4200</v>
      </c>
      <c r="J1162" s="17">
        <f t="shared" si="882"/>
        <v>5200</v>
      </c>
      <c r="K1162" s="17">
        <v>19473</v>
      </c>
      <c r="L1162" s="226">
        <v>10000</v>
      </c>
      <c r="M1162" s="335">
        <f t="shared" si="866"/>
        <v>0.92307692307692313</v>
      </c>
      <c r="N1162" s="329">
        <f t="shared" si="880"/>
        <v>4800</v>
      </c>
    </row>
    <row r="1163" spans="1:14" ht="14.1" customHeight="1">
      <c r="A1163" s="32"/>
      <c r="B1163" s="33">
        <v>5516</v>
      </c>
      <c r="C1163" s="34" t="s">
        <v>602</v>
      </c>
      <c r="D1163" s="52"/>
      <c r="E1163" s="17">
        <v>0</v>
      </c>
      <c r="F1163" s="226">
        <v>1000</v>
      </c>
      <c r="G1163" s="17">
        <v>-500</v>
      </c>
      <c r="H1163" s="17">
        <f t="shared" si="881"/>
        <v>500</v>
      </c>
      <c r="I1163" s="17"/>
      <c r="J1163" s="17">
        <f t="shared" si="882"/>
        <v>500</v>
      </c>
      <c r="K1163" s="17"/>
      <c r="L1163" s="226">
        <f>3000+4000</f>
        <v>7000</v>
      </c>
      <c r="M1163" s="335">
        <f t="shared" si="866"/>
        <v>13</v>
      </c>
      <c r="N1163" s="329">
        <f t="shared" si="880"/>
        <v>6500</v>
      </c>
    </row>
    <row r="1164" spans="1:14" ht="14.1" customHeight="1">
      <c r="A1164" s="32"/>
      <c r="B1164" s="33">
        <v>5521</v>
      </c>
      <c r="C1164" s="34" t="s">
        <v>575</v>
      </c>
      <c r="D1164" s="52">
        <v>23580</v>
      </c>
      <c r="E1164" s="17">
        <v>25000</v>
      </c>
      <c r="F1164" s="226">
        <v>30000</v>
      </c>
      <c r="G1164" s="17"/>
      <c r="H1164" s="17">
        <f t="shared" si="881"/>
        <v>30000</v>
      </c>
      <c r="I1164" s="17">
        <v>-15000</v>
      </c>
      <c r="J1164" s="17">
        <f t="shared" si="882"/>
        <v>15000</v>
      </c>
      <c r="K1164" s="17">
        <v>2997</v>
      </c>
      <c r="L1164" s="226">
        <v>35000</v>
      </c>
      <c r="M1164" s="335">
        <f t="shared" si="866"/>
        <v>1.3333333333333333</v>
      </c>
      <c r="N1164" s="329">
        <f t="shared" si="880"/>
        <v>20000</v>
      </c>
    </row>
    <row r="1165" spans="1:14" ht="14.1" customHeight="1">
      <c r="A1165" s="32"/>
      <c r="B1165" s="33">
        <v>5522</v>
      </c>
      <c r="C1165" s="34" t="s">
        <v>262</v>
      </c>
      <c r="D1165" s="52">
        <v>700</v>
      </c>
      <c r="E1165" s="17">
        <v>500</v>
      </c>
      <c r="F1165" s="226">
        <v>500</v>
      </c>
      <c r="G1165" s="17"/>
      <c r="H1165" s="17">
        <f t="shared" si="881"/>
        <v>500</v>
      </c>
      <c r="I1165" s="17"/>
      <c r="J1165" s="17">
        <f t="shared" si="882"/>
        <v>500</v>
      </c>
      <c r="K1165" s="17">
        <v>182</v>
      </c>
      <c r="L1165" s="226">
        <v>1500</v>
      </c>
      <c r="M1165" s="335">
        <f t="shared" si="866"/>
        <v>2</v>
      </c>
      <c r="N1165" s="329">
        <f t="shared" si="880"/>
        <v>1000</v>
      </c>
    </row>
    <row r="1166" spans="1:14" ht="14.1" customHeight="1">
      <c r="A1166" s="32"/>
      <c r="B1166" s="33">
        <v>5524</v>
      </c>
      <c r="C1166" s="34" t="s">
        <v>577</v>
      </c>
      <c r="D1166" s="52">
        <v>9660</v>
      </c>
      <c r="E1166" s="17">
        <v>9000</v>
      </c>
      <c r="F1166" s="226">
        <v>9000</v>
      </c>
      <c r="G1166" s="17"/>
      <c r="H1166" s="17">
        <f t="shared" si="881"/>
        <v>9000</v>
      </c>
      <c r="I1166" s="255">
        <v>6375</v>
      </c>
      <c r="J1166" s="17">
        <f t="shared" si="882"/>
        <v>15375</v>
      </c>
      <c r="K1166" s="17">
        <v>8847</v>
      </c>
      <c r="L1166" s="226">
        <v>10000</v>
      </c>
      <c r="M1166" s="335">
        <f t="shared" si="866"/>
        <v>-0.34959349593495936</v>
      </c>
      <c r="N1166" s="329">
        <f t="shared" si="880"/>
        <v>-5375</v>
      </c>
    </row>
    <row r="1167" spans="1:14" ht="14.1" customHeight="1">
      <c r="A1167" s="32"/>
      <c r="B1167" s="33">
        <v>5525</v>
      </c>
      <c r="C1167" s="34" t="s">
        <v>510</v>
      </c>
      <c r="D1167" s="52">
        <v>900</v>
      </c>
      <c r="E1167" s="17">
        <v>1500</v>
      </c>
      <c r="F1167" s="226">
        <v>1500</v>
      </c>
      <c r="G1167" s="17"/>
      <c r="H1167" s="17">
        <f t="shared" si="881"/>
        <v>1500</v>
      </c>
      <c r="I1167" s="17"/>
      <c r="J1167" s="17">
        <f t="shared" si="882"/>
        <v>1500</v>
      </c>
      <c r="K1167" s="17">
        <v>550</v>
      </c>
      <c r="L1167" s="226">
        <v>3500</v>
      </c>
      <c r="M1167" s="335">
        <f t="shared" si="866"/>
        <v>1.3333333333333333</v>
      </c>
      <c r="N1167" s="329">
        <f t="shared" si="880"/>
        <v>2000</v>
      </c>
    </row>
    <row r="1168" spans="1:14" ht="14.1" customHeight="1">
      <c r="A1168" s="32"/>
      <c r="B1168" s="33">
        <v>5540</v>
      </c>
      <c r="C1168" s="34" t="s">
        <v>603</v>
      </c>
      <c r="D1168" s="52">
        <v>1320</v>
      </c>
      <c r="E1168" s="17">
        <v>1100</v>
      </c>
      <c r="F1168" s="226">
        <v>1500</v>
      </c>
      <c r="G1168" s="17"/>
      <c r="H1168" s="17">
        <f t="shared" si="881"/>
        <v>1500</v>
      </c>
      <c r="I1168" s="17"/>
      <c r="J1168" s="17">
        <f t="shared" si="882"/>
        <v>1500</v>
      </c>
      <c r="K1168" s="17">
        <v>912</v>
      </c>
      <c r="L1168" s="226">
        <v>2000</v>
      </c>
      <c r="M1168" s="335">
        <f t="shared" si="866"/>
        <v>0.33333333333333331</v>
      </c>
      <c r="N1168" s="329">
        <f t="shared" si="880"/>
        <v>500</v>
      </c>
    </row>
    <row r="1169" spans="1:14" ht="14.1" customHeight="1">
      <c r="A1169" s="56" t="s">
        <v>53</v>
      </c>
      <c r="B1169" s="55"/>
      <c r="C1169" s="47" t="s">
        <v>604</v>
      </c>
      <c r="D1169" s="53">
        <v>53001</v>
      </c>
      <c r="E1169" s="50">
        <v>208809</v>
      </c>
      <c r="F1169" s="50">
        <f t="shared" ref="F1169" si="883">+F1170+F1171</f>
        <v>272200</v>
      </c>
      <c r="G1169" s="50">
        <f t="shared" ref="G1169:H1169" si="884">+G1170+G1171</f>
        <v>2996</v>
      </c>
      <c r="H1169" s="50">
        <f t="shared" si="884"/>
        <v>275196</v>
      </c>
      <c r="I1169" s="50">
        <f t="shared" ref="I1169:J1169" si="885">+I1170+I1171</f>
        <v>-13500</v>
      </c>
      <c r="J1169" s="50">
        <f t="shared" si="885"/>
        <v>261696</v>
      </c>
      <c r="K1169" s="50">
        <f t="shared" ref="K1169:L1169" si="886">+K1170+K1171</f>
        <v>196859</v>
      </c>
      <c r="L1169" s="50">
        <f t="shared" si="886"/>
        <v>285500</v>
      </c>
      <c r="M1169" s="335">
        <f t="shared" si="866"/>
        <v>9.0960503790657857E-2</v>
      </c>
      <c r="N1169" s="329">
        <f t="shared" si="880"/>
        <v>23804</v>
      </c>
    </row>
    <row r="1170" spans="1:14" ht="14.1" customHeight="1">
      <c r="A1170" s="32"/>
      <c r="B1170" s="38" t="s">
        <v>210</v>
      </c>
      <c r="C1170" s="39" t="s">
        <v>211</v>
      </c>
      <c r="D1170" s="52">
        <v>38556</v>
      </c>
      <c r="E1170" s="143">
        <v>148759</v>
      </c>
      <c r="F1170" s="226">
        <v>219850</v>
      </c>
      <c r="G1170" s="143"/>
      <c r="H1170" s="143">
        <f t="shared" ref="H1170:H1193" si="887">+G1170+F1170</f>
        <v>219850</v>
      </c>
      <c r="I1170" s="152">
        <v>-7000</v>
      </c>
      <c r="J1170" s="143">
        <f t="shared" ref="J1170" si="888">+I1170+H1170</f>
        <v>212850</v>
      </c>
      <c r="K1170" s="143">
        <v>160422</v>
      </c>
      <c r="L1170" s="225">
        <v>229000</v>
      </c>
      <c r="M1170" s="335">
        <f t="shared" si="866"/>
        <v>7.5875029363401458E-2</v>
      </c>
      <c r="N1170" s="329">
        <f t="shared" si="880"/>
        <v>16150</v>
      </c>
    </row>
    <row r="1171" spans="1:14" ht="14.1" customHeight="1">
      <c r="A1171" s="32"/>
      <c r="B1171" s="38" t="s">
        <v>212</v>
      </c>
      <c r="C1171" s="39" t="s">
        <v>213</v>
      </c>
      <c r="D1171" s="52">
        <v>14445</v>
      </c>
      <c r="E1171" s="137">
        <v>60050</v>
      </c>
      <c r="F1171" s="137">
        <f t="shared" ref="F1171:K1171" si="889">+F1172+F1173+F1174+F1185+F1186+F1187+F1189+F1190+F1191+F1192+F1193+F1188</f>
        <v>52350</v>
      </c>
      <c r="G1171" s="137">
        <f t="shared" si="889"/>
        <v>2996</v>
      </c>
      <c r="H1171" s="137">
        <f t="shared" si="889"/>
        <v>55346</v>
      </c>
      <c r="I1171" s="137">
        <f>+I1172+I1173+I1174+I1185+I1186+I1187+I1189+I1190+I1191+I1192+I1193+I1188</f>
        <v>-6500</v>
      </c>
      <c r="J1171" s="137">
        <f>+J1172+J1173+J1174+J1185+J1186+J1187+J1189+J1190+J1191+J1192+J1193+J1188</f>
        <v>48846</v>
      </c>
      <c r="K1171" s="137">
        <f t="shared" si="889"/>
        <v>36437</v>
      </c>
      <c r="L1171" s="137">
        <f t="shared" ref="L1171" si="890">+L1172+L1173+L1174+L1185+L1186+L1187+L1189+L1190+L1191+L1192+L1193+L1188</f>
        <v>56500</v>
      </c>
      <c r="M1171" s="335">
        <f t="shared" si="866"/>
        <v>0.15669655652458747</v>
      </c>
      <c r="N1171" s="329">
        <f t="shared" si="880"/>
        <v>7654</v>
      </c>
    </row>
    <row r="1172" spans="1:14" ht="14.1" customHeight="1">
      <c r="A1172" s="32"/>
      <c r="B1172" s="33">
        <v>5500</v>
      </c>
      <c r="C1172" s="34" t="s">
        <v>327</v>
      </c>
      <c r="D1172" s="52">
        <v>240</v>
      </c>
      <c r="E1172" s="17">
        <v>1050</v>
      </c>
      <c r="F1172" s="226">
        <v>1100</v>
      </c>
      <c r="G1172" s="17"/>
      <c r="H1172" s="17">
        <f t="shared" si="887"/>
        <v>1100</v>
      </c>
      <c r="I1172" s="17"/>
      <c r="J1172" s="17">
        <f t="shared" ref="J1172:J1173" si="891">+I1172+H1172</f>
        <v>1100</v>
      </c>
      <c r="K1172" s="17">
        <v>212</v>
      </c>
      <c r="L1172" s="226">
        <v>1050</v>
      </c>
      <c r="M1172" s="335">
        <f t="shared" si="866"/>
        <v>-4.5454545454545456E-2</v>
      </c>
      <c r="N1172" s="329">
        <f t="shared" si="880"/>
        <v>-50</v>
      </c>
    </row>
    <row r="1173" spans="1:14" ht="14.1" customHeight="1">
      <c r="A1173" s="32"/>
      <c r="B1173" s="33">
        <v>5504</v>
      </c>
      <c r="C1173" s="34" t="s">
        <v>230</v>
      </c>
      <c r="D1173" s="52">
        <v>385</v>
      </c>
      <c r="E1173" s="17">
        <v>500</v>
      </c>
      <c r="F1173" s="226">
        <v>1000</v>
      </c>
      <c r="G1173" s="17"/>
      <c r="H1173" s="17">
        <f t="shared" si="887"/>
        <v>1000</v>
      </c>
      <c r="I1173" s="17"/>
      <c r="J1173" s="17">
        <f t="shared" si="891"/>
        <v>1000</v>
      </c>
      <c r="K1173" s="17">
        <v>833</v>
      </c>
      <c r="L1173" s="226">
        <v>1000</v>
      </c>
      <c r="M1173" s="335">
        <f t="shared" si="866"/>
        <v>0</v>
      </c>
      <c r="N1173" s="329">
        <f t="shared" si="880"/>
        <v>0</v>
      </c>
    </row>
    <row r="1174" spans="1:14" ht="14.1" customHeight="1">
      <c r="A1174" s="32"/>
      <c r="B1174" s="33">
        <v>5511</v>
      </c>
      <c r="C1174" s="34" t="s">
        <v>600</v>
      </c>
      <c r="D1174" s="52">
        <v>4860</v>
      </c>
      <c r="E1174" s="17">
        <v>22900</v>
      </c>
      <c r="F1174" s="226">
        <f t="shared" ref="F1174" si="892">SUM(F1175:F1183)</f>
        <v>15400</v>
      </c>
      <c r="G1174" s="17">
        <f t="shared" ref="G1174:K1174" si="893">SUM(G1175:G1184)</f>
        <v>3796</v>
      </c>
      <c r="H1174" s="17">
        <f t="shared" si="893"/>
        <v>19196</v>
      </c>
      <c r="I1174" s="17">
        <f t="shared" si="893"/>
        <v>-8000</v>
      </c>
      <c r="J1174" s="17">
        <f t="shared" si="893"/>
        <v>11196</v>
      </c>
      <c r="K1174" s="17">
        <f t="shared" si="893"/>
        <v>11702</v>
      </c>
      <c r="L1174" s="226">
        <f>SUM(L1175:L1184)</f>
        <v>19300</v>
      </c>
      <c r="M1174" s="335">
        <f t="shared" si="866"/>
        <v>0.72382993926402284</v>
      </c>
      <c r="N1174" s="329">
        <f t="shared" si="880"/>
        <v>8104</v>
      </c>
    </row>
    <row r="1175" spans="1:14" s="142" customFormat="1" ht="14.1" customHeight="1">
      <c r="A1175" s="144"/>
      <c r="B1175" s="145"/>
      <c r="C1175" s="146" t="s">
        <v>407</v>
      </c>
      <c r="D1175" s="151">
        <v>0</v>
      </c>
      <c r="E1175" s="147">
        <v>20900</v>
      </c>
      <c r="F1175" s="229">
        <v>0</v>
      </c>
      <c r="G1175" s="147"/>
      <c r="H1175" s="147">
        <f t="shared" si="887"/>
        <v>0</v>
      </c>
      <c r="I1175" s="147"/>
      <c r="J1175" s="147">
        <f t="shared" ref="J1175:J1193" si="894">+I1175+H1175</f>
        <v>0</v>
      </c>
      <c r="K1175" s="147"/>
      <c r="L1175" s="229">
        <v>0</v>
      </c>
      <c r="M1175" s="335" t="e">
        <f t="shared" si="866"/>
        <v>#DIV/0!</v>
      </c>
      <c r="N1175" s="329">
        <f t="shared" si="880"/>
        <v>0</v>
      </c>
    </row>
    <row r="1176" spans="1:14" s="142" customFormat="1" ht="14.1" customHeight="1">
      <c r="A1176" s="144"/>
      <c r="B1176" s="145"/>
      <c r="C1176" s="146" t="s">
        <v>408</v>
      </c>
      <c r="D1176" s="151">
        <v>0</v>
      </c>
      <c r="E1176" s="147">
        <v>2000</v>
      </c>
      <c r="F1176" s="229">
        <v>8000</v>
      </c>
      <c r="G1176" s="147"/>
      <c r="H1176" s="147">
        <f t="shared" si="887"/>
        <v>8000</v>
      </c>
      <c r="I1176" s="147">
        <v>-7000</v>
      </c>
      <c r="J1176" s="147">
        <f t="shared" si="894"/>
        <v>1000</v>
      </c>
      <c r="K1176" s="147">
        <v>4592</v>
      </c>
      <c r="L1176" s="229">
        <v>9000</v>
      </c>
      <c r="M1176" s="335">
        <f t="shared" si="866"/>
        <v>8</v>
      </c>
      <c r="N1176" s="329">
        <f t="shared" si="880"/>
        <v>8000</v>
      </c>
    </row>
    <row r="1177" spans="1:14" s="142" customFormat="1" ht="14.1" customHeight="1">
      <c r="A1177" s="144"/>
      <c r="B1177" s="145"/>
      <c r="C1177" s="146" t="s">
        <v>409</v>
      </c>
      <c r="D1177" s="151">
        <v>0</v>
      </c>
      <c r="E1177" s="147">
        <v>0</v>
      </c>
      <c r="F1177" s="229">
        <v>1200</v>
      </c>
      <c r="G1177" s="147"/>
      <c r="H1177" s="147">
        <f t="shared" si="887"/>
        <v>1200</v>
      </c>
      <c r="I1177" s="147">
        <v>-500</v>
      </c>
      <c r="J1177" s="147">
        <f t="shared" si="894"/>
        <v>700</v>
      </c>
      <c r="K1177" s="147">
        <v>534</v>
      </c>
      <c r="L1177" s="229">
        <v>800</v>
      </c>
      <c r="M1177" s="335">
        <f t="shared" si="866"/>
        <v>0.14285714285714285</v>
      </c>
      <c r="N1177" s="329">
        <f t="shared" si="880"/>
        <v>100</v>
      </c>
    </row>
    <row r="1178" spans="1:14" s="142" customFormat="1" ht="14.1" customHeight="1">
      <c r="A1178" s="144"/>
      <c r="B1178" s="145"/>
      <c r="C1178" s="146" t="s">
        <v>410</v>
      </c>
      <c r="D1178" s="151">
        <v>0</v>
      </c>
      <c r="E1178" s="147">
        <v>0</v>
      </c>
      <c r="F1178" s="229">
        <v>1000</v>
      </c>
      <c r="G1178" s="242">
        <v>1500</v>
      </c>
      <c r="H1178" s="147">
        <f t="shared" si="887"/>
        <v>2500</v>
      </c>
      <c r="I1178" s="147">
        <v>68</v>
      </c>
      <c r="J1178" s="147">
        <f t="shared" si="894"/>
        <v>2568</v>
      </c>
      <c r="K1178" s="147">
        <v>2298</v>
      </c>
      <c r="L1178" s="229">
        <v>2500</v>
      </c>
      <c r="M1178" s="335">
        <f t="shared" si="866"/>
        <v>-2.6479750778816199E-2</v>
      </c>
      <c r="N1178" s="329">
        <f t="shared" si="880"/>
        <v>-68</v>
      </c>
    </row>
    <row r="1179" spans="1:14" s="142" customFormat="1" ht="14.1" customHeight="1">
      <c r="A1179" s="144"/>
      <c r="B1179" s="145"/>
      <c r="C1179" s="146" t="s">
        <v>581</v>
      </c>
      <c r="D1179" s="151">
        <v>0</v>
      </c>
      <c r="E1179" s="147">
        <v>0</v>
      </c>
      <c r="F1179" s="229">
        <v>2500</v>
      </c>
      <c r="G1179" s="242">
        <v>-500</v>
      </c>
      <c r="H1179" s="147">
        <f t="shared" si="887"/>
        <v>2000</v>
      </c>
      <c r="I1179" s="147"/>
      <c r="J1179" s="147">
        <f t="shared" si="894"/>
        <v>2000</v>
      </c>
      <c r="K1179" s="147">
        <v>1632</v>
      </c>
      <c r="L1179" s="229">
        <v>2000</v>
      </c>
      <c r="M1179" s="335">
        <f t="shared" si="866"/>
        <v>0</v>
      </c>
      <c r="N1179" s="329">
        <f t="shared" si="880"/>
        <v>0</v>
      </c>
    </row>
    <row r="1180" spans="1:14" s="142" customFormat="1" ht="14.1" customHeight="1">
      <c r="A1180" s="144"/>
      <c r="B1180" s="145"/>
      <c r="C1180" s="146" t="s">
        <v>588</v>
      </c>
      <c r="D1180" s="151">
        <v>0</v>
      </c>
      <c r="E1180" s="147">
        <v>0</v>
      </c>
      <c r="F1180" s="229">
        <v>400</v>
      </c>
      <c r="G1180" s="147"/>
      <c r="H1180" s="147">
        <f>+G1180+F1180</f>
        <v>400</v>
      </c>
      <c r="I1180" s="147"/>
      <c r="J1180" s="147">
        <f t="shared" si="894"/>
        <v>400</v>
      </c>
      <c r="K1180" s="147">
        <v>182</v>
      </c>
      <c r="L1180" s="229">
        <v>400</v>
      </c>
      <c r="M1180" s="335">
        <f t="shared" si="866"/>
        <v>0</v>
      </c>
      <c r="N1180" s="329">
        <f t="shared" si="880"/>
        <v>0</v>
      </c>
    </row>
    <row r="1181" spans="1:14" s="142" customFormat="1" ht="14.1" customHeight="1">
      <c r="A1181" s="144"/>
      <c r="B1181" s="145"/>
      <c r="C1181" s="146" t="s">
        <v>414</v>
      </c>
      <c r="D1181" s="151">
        <v>0</v>
      </c>
      <c r="E1181" s="147">
        <v>0</v>
      </c>
      <c r="F1181" s="229">
        <v>300</v>
      </c>
      <c r="G1181" s="147"/>
      <c r="H1181" s="147">
        <f t="shared" si="887"/>
        <v>300</v>
      </c>
      <c r="I1181" s="147"/>
      <c r="J1181" s="147">
        <f t="shared" si="894"/>
        <v>300</v>
      </c>
      <c r="K1181" s="147"/>
      <c r="L1181" s="229">
        <v>1000</v>
      </c>
      <c r="M1181" s="335">
        <f t="shared" si="866"/>
        <v>2.3333333333333335</v>
      </c>
      <c r="N1181" s="329">
        <f t="shared" si="880"/>
        <v>700</v>
      </c>
    </row>
    <row r="1182" spans="1:14" s="142" customFormat="1" ht="14.1" customHeight="1">
      <c r="A1182" s="144"/>
      <c r="B1182" s="145"/>
      <c r="C1182" s="146" t="s">
        <v>601</v>
      </c>
      <c r="D1182" s="151">
        <v>0</v>
      </c>
      <c r="E1182" s="147">
        <v>0</v>
      </c>
      <c r="F1182" s="229">
        <v>500</v>
      </c>
      <c r="G1182" s="147"/>
      <c r="H1182" s="147">
        <f t="shared" si="887"/>
        <v>500</v>
      </c>
      <c r="I1182" s="147">
        <v>-68</v>
      </c>
      <c r="J1182" s="147">
        <f t="shared" si="894"/>
        <v>432</v>
      </c>
      <c r="K1182" s="147">
        <v>431</v>
      </c>
      <c r="L1182" s="229">
        <v>499</v>
      </c>
      <c r="M1182" s="335">
        <f t="shared" si="866"/>
        <v>0.15509259259259259</v>
      </c>
      <c r="N1182" s="329">
        <f t="shared" si="880"/>
        <v>67</v>
      </c>
    </row>
    <row r="1183" spans="1:14" s="142" customFormat="1" ht="14.1" customHeight="1">
      <c r="A1183" s="144"/>
      <c r="B1183" s="145"/>
      <c r="C1183" s="146" t="s">
        <v>589</v>
      </c>
      <c r="D1183" s="151">
        <v>0</v>
      </c>
      <c r="E1183" s="147">
        <v>0</v>
      </c>
      <c r="F1183" s="229">
        <v>1500</v>
      </c>
      <c r="G1183" s="147"/>
      <c r="H1183" s="147">
        <f t="shared" si="887"/>
        <v>1500</v>
      </c>
      <c r="I1183" s="147">
        <v>-500</v>
      </c>
      <c r="J1183" s="147">
        <f t="shared" si="894"/>
        <v>1000</v>
      </c>
      <c r="K1183" s="147"/>
      <c r="L1183" s="229"/>
      <c r="M1183" s="335">
        <f t="shared" si="866"/>
        <v>-1</v>
      </c>
      <c r="N1183" s="329">
        <f t="shared" si="880"/>
        <v>-1000</v>
      </c>
    </row>
    <row r="1184" spans="1:14" s="142" customFormat="1" ht="14.1" customHeight="1">
      <c r="A1184" s="144"/>
      <c r="B1184" s="145"/>
      <c r="C1184" s="146" t="s">
        <v>590</v>
      </c>
      <c r="D1184" s="151"/>
      <c r="E1184" s="147"/>
      <c r="F1184" s="229"/>
      <c r="G1184" s="242">
        <v>2796</v>
      </c>
      <c r="H1184" s="147">
        <f t="shared" si="887"/>
        <v>2796</v>
      </c>
      <c r="I1184" s="147"/>
      <c r="J1184" s="147">
        <f t="shared" si="894"/>
        <v>2796</v>
      </c>
      <c r="K1184" s="147">
        <v>2033</v>
      </c>
      <c r="L1184" s="229">
        <v>3101</v>
      </c>
      <c r="M1184" s="335">
        <f t="shared" si="866"/>
        <v>0.10908440629470673</v>
      </c>
      <c r="N1184" s="329">
        <f t="shared" si="880"/>
        <v>305</v>
      </c>
    </row>
    <row r="1185" spans="1:14" ht="14.1" customHeight="1">
      <c r="A1185" s="32"/>
      <c r="B1185" s="33">
        <v>5513</v>
      </c>
      <c r="C1185" s="34" t="s">
        <v>435</v>
      </c>
      <c r="D1185" s="52">
        <v>120</v>
      </c>
      <c r="E1185" s="17">
        <v>200</v>
      </c>
      <c r="F1185" s="226">
        <v>250</v>
      </c>
      <c r="G1185" s="17"/>
      <c r="H1185" s="17">
        <f t="shared" si="887"/>
        <v>250</v>
      </c>
      <c r="I1185" s="17"/>
      <c r="J1185" s="17">
        <f t="shared" si="894"/>
        <v>250</v>
      </c>
      <c r="K1185" s="17">
        <v>26</v>
      </c>
      <c r="L1185" s="226">
        <v>250</v>
      </c>
      <c r="M1185" s="335">
        <f t="shared" si="866"/>
        <v>0</v>
      </c>
      <c r="N1185" s="329">
        <f t="shared" si="880"/>
        <v>0</v>
      </c>
    </row>
    <row r="1186" spans="1:14" ht="14.1" customHeight="1">
      <c r="A1186" s="32"/>
      <c r="B1186" s="33">
        <v>5514</v>
      </c>
      <c r="C1186" s="34" t="s">
        <v>508</v>
      </c>
      <c r="D1186" s="52">
        <v>250</v>
      </c>
      <c r="E1186" s="17">
        <v>7000</v>
      </c>
      <c r="F1186" s="226">
        <v>2000</v>
      </c>
      <c r="G1186" s="17"/>
      <c r="H1186" s="17">
        <f t="shared" si="887"/>
        <v>2000</v>
      </c>
      <c r="I1186" s="17"/>
      <c r="J1186" s="17">
        <f t="shared" si="894"/>
        <v>2000</v>
      </c>
      <c r="K1186" s="17">
        <v>593</v>
      </c>
      <c r="L1186" s="226">
        <v>1700</v>
      </c>
      <c r="M1186" s="335">
        <f t="shared" si="866"/>
        <v>-0.15</v>
      </c>
      <c r="N1186" s="329">
        <f t="shared" si="880"/>
        <v>-300</v>
      </c>
    </row>
    <row r="1187" spans="1:14" ht="14.1" customHeight="1">
      <c r="A1187" s="32"/>
      <c r="B1187" s="33">
        <v>5515</v>
      </c>
      <c r="C1187" s="34" t="s">
        <v>509</v>
      </c>
      <c r="D1187" s="52">
        <v>750</v>
      </c>
      <c r="E1187" s="17">
        <v>7700</v>
      </c>
      <c r="F1187" s="226">
        <v>2000</v>
      </c>
      <c r="G1187" s="17"/>
      <c r="H1187" s="17">
        <f t="shared" si="887"/>
        <v>2000</v>
      </c>
      <c r="I1187" s="17"/>
      <c r="J1187" s="17">
        <f t="shared" si="894"/>
        <v>2000</v>
      </c>
      <c r="K1187" s="17">
        <v>551</v>
      </c>
      <c r="L1187" s="226">
        <v>1500</v>
      </c>
      <c r="M1187" s="335">
        <f t="shared" si="866"/>
        <v>-0.25</v>
      </c>
      <c r="N1187" s="329">
        <f t="shared" si="880"/>
        <v>-500</v>
      </c>
    </row>
    <row r="1188" spans="1:14" ht="14.1" customHeight="1">
      <c r="A1188" s="32"/>
      <c r="B1188" s="33">
        <v>5516</v>
      </c>
      <c r="C1188" s="34" t="s">
        <v>602</v>
      </c>
      <c r="D1188" s="52"/>
      <c r="E1188" s="17"/>
      <c r="F1188" s="226">
        <v>2000</v>
      </c>
      <c r="G1188" s="17">
        <v>-1000</v>
      </c>
      <c r="H1188" s="17">
        <f t="shared" si="887"/>
        <v>1000</v>
      </c>
      <c r="I1188" s="17"/>
      <c r="J1188" s="17">
        <f t="shared" si="894"/>
        <v>1000</v>
      </c>
      <c r="K1188" s="17">
        <v>841</v>
      </c>
      <c r="L1188" s="226">
        <f>5000+3500</f>
        <v>8500</v>
      </c>
      <c r="M1188" s="335">
        <f t="shared" si="866"/>
        <v>7.5</v>
      </c>
      <c r="N1188" s="329">
        <f t="shared" si="880"/>
        <v>7500</v>
      </c>
    </row>
    <row r="1189" spans="1:14" ht="14.1" customHeight="1">
      <c r="A1189" s="32"/>
      <c r="B1189" s="33">
        <v>5521</v>
      </c>
      <c r="C1189" s="34" t="s">
        <v>575</v>
      </c>
      <c r="D1189" s="52">
        <v>5420</v>
      </c>
      <c r="E1189" s="17">
        <v>15500</v>
      </c>
      <c r="F1189" s="226">
        <v>21800</v>
      </c>
      <c r="G1189" s="17"/>
      <c r="H1189" s="17">
        <f t="shared" si="887"/>
        <v>21800</v>
      </c>
      <c r="I1189" s="17">
        <v>2000</v>
      </c>
      <c r="J1189" s="17">
        <f t="shared" si="894"/>
        <v>23800</v>
      </c>
      <c r="K1189" s="17">
        <v>17734</v>
      </c>
      <c r="L1189" s="226">
        <v>18000</v>
      </c>
      <c r="M1189" s="335">
        <f t="shared" si="866"/>
        <v>-0.24369747899159663</v>
      </c>
      <c r="N1189" s="329">
        <f t="shared" si="880"/>
        <v>-5800</v>
      </c>
    </row>
    <row r="1190" spans="1:14" ht="14.1" customHeight="1">
      <c r="A1190" s="32"/>
      <c r="B1190" s="33">
        <v>5522</v>
      </c>
      <c r="C1190" s="34" t="s">
        <v>262</v>
      </c>
      <c r="D1190" s="52"/>
      <c r="E1190" s="17">
        <v>200</v>
      </c>
      <c r="F1190" s="226">
        <v>900</v>
      </c>
      <c r="G1190" s="17"/>
      <c r="H1190" s="17">
        <f t="shared" si="887"/>
        <v>900</v>
      </c>
      <c r="I1190" s="17"/>
      <c r="J1190" s="17">
        <f t="shared" si="894"/>
        <v>900</v>
      </c>
      <c r="K1190" s="17">
        <v>122</v>
      </c>
      <c r="L1190" s="226">
        <v>500</v>
      </c>
      <c r="M1190" s="335">
        <f t="shared" si="866"/>
        <v>-0.44444444444444442</v>
      </c>
      <c r="N1190" s="329">
        <f t="shared" si="880"/>
        <v>-400</v>
      </c>
    </row>
    <row r="1191" spans="1:14" ht="14.1" customHeight="1">
      <c r="A1191" s="32"/>
      <c r="B1191" s="33">
        <v>5524</v>
      </c>
      <c r="C1191" s="34" t="s">
        <v>577</v>
      </c>
      <c r="D1191" s="52">
        <v>1840</v>
      </c>
      <c r="E1191" s="17">
        <v>3500</v>
      </c>
      <c r="F1191" s="226">
        <v>4300</v>
      </c>
      <c r="G1191" s="17"/>
      <c r="H1191" s="17">
        <f t="shared" si="887"/>
        <v>4300</v>
      </c>
      <c r="I1191" s="17"/>
      <c r="J1191" s="17">
        <f t="shared" si="894"/>
        <v>4300</v>
      </c>
      <c r="K1191" s="17">
        <v>2731</v>
      </c>
      <c r="L1191" s="226">
        <v>3200</v>
      </c>
      <c r="M1191" s="335">
        <f t="shared" si="866"/>
        <v>-0.2558139534883721</v>
      </c>
      <c r="N1191" s="329">
        <f t="shared" si="880"/>
        <v>-1100</v>
      </c>
    </row>
    <row r="1192" spans="1:14" ht="14.1" customHeight="1">
      <c r="A1192" s="32"/>
      <c r="B1192" s="33">
        <v>5525</v>
      </c>
      <c r="C1192" s="34" t="s">
        <v>510</v>
      </c>
      <c r="D1192" s="52">
        <v>400</v>
      </c>
      <c r="E1192" s="17">
        <v>1000</v>
      </c>
      <c r="F1192" s="226">
        <v>1000</v>
      </c>
      <c r="G1192" s="17">
        <v>200</v>
      </c>
      <c r="H1192" s="17">
        <f t="shared" si="887"/>
        <v>1200</v>
      </c>
      <c r="I1192" s="17">
        <v>-500</v>
      </c>
      <c r="J1192" s="17">
        <f t="shared" si="894"/>
        <v>700</v>
      </c>
      <c r="K1192" s="17">
        <v>650</v>
      </c>
      <c r="L1192" s="226">
        <v>700</v>
      </c>
      <c r="M1192" s="335">
        <f t="shared" si="866"/>
        <v>0</v>
      </c>
      <c r="N1192" s="329">
        <f t="shared" si="880"/>
        <v>0</v>
      </c>
    </row>
    <row r="1193" spans="1:14" ht="14.1" customHeight="1">
      <c r="A1193" s="32"/>
      <c r="B1193" s="33">
        <v>5540</v>
      </c>
      <c r="C1193" s="34" t="s">
        <v>603</v>
      </c>
      <c r="D1193" s="52">
        <v>180</v>
      </c>
      <c r="E1193" s="17">
        <v>500</v>
      </c>
      <c r="F1193" s="226">
        <v>600</v>
      </c>
      <c r="G1193" s="17"/>
      <c r="H1193" s="17">
        <f t="shared" si="887"/>
        <v>600</v>
      </c>
      <c r="I1193" s="17"/>
      <c r="J1193" s="17">
        <f t="shared" si="894"/>
        <v>600</v>
      </c>
      <c r="K1193" s="17">
        <v>442</v>
      </c>
      <c r="L1193" s="226">
        <v>800</v>
      </c>
      <c r="M1193" s="335">
        <f t="shared" si="866"/>
        <v>0.33333333333333331</v>
      </c>
      <c r="N1193" s="329">
        <f t="shared" si="880"/>
        <v>200</v>
      </c>
    </row>
    <row r="1194" spans="1:14" ht="14.1" customHeight="1">
      <c r="A1194" s="45" t="s">
        <v>605</v>
      </c>
      <c r="B1194" s="46"/>
      <c r="C1194" s="47" t="s">
        <v>606</v>
      </c>
      <c r="D1194" s="53">
        <v>866508</v>
      </c>
      <c r="E1194" s="50">
        <v>885799</v>
      </c>
      <c r="F1194" s="50">
        <f t="shared" ref="F1194" si="895">+F1195+F1196</f>
        <v>1079123</v>
      </c>
      <c r="G1194" s="50">
        <f t="shared" ref="G1194:H1194" si="896">+G1195+G1196</f>
        <v>-34550</v>
      </c>
      <c r="H1194" s="50">
        <f t="shared" si="896"/>
        <v>1044573</v>
      </c>
      <c r="I1194" s="50">
        <f t="shared" ref="I1194:J1194" si="897">+I1195+I1196</f>
        <v>-148552</v>
      </c>
      <c r="J1194" s="50">
        <f t="shared" si="897"/>
        <v>896021</v>
      </c>
      <c r="K1194" s="50">
        <f t="shared" ref="K1194:L1194" si="898">+K1195+K1196</f>
        <v>580216</v>
      </c>
      <c r="L1194" s="50">
        <f t="shared" si="898"/>
        <v>972000</v>
      </c>
      <c r="M1194" s="335">
        <f t="shared" si="866"/>
        <v>8.479600366509267E-2</v>
      </c>
      <c r="N1194" s="329">
        <f t="shared" si="880"/>
        <v>75979</v>
      </c>
    </row>
    <row r="1195" spans="1:14" s="2" customFormat="1" ht="14.1" customHeight="1">
      <c r="A1195" s="37"/>
      <c r="B1195" s="38" t="s">
        <v>210</v>
      </c>
      <c r="C1195" s="39" t="s">
        <v>211</v>
      </c>
      <c r="D1195" s="51">
        <v>369337</v>
      </c>
      <c r="E1195" s="152">
        <v>459521</v>
      </c>
      <c r="F1195" s="225">
        <v>515454</v>
      </c>
      <c r="G1195" s="257">
        <v>10450</v>
      </c>
      <c r="H1195" s="152">
        <f t="shared" ref="H1195:H1220" si="899">+G1195+F1195</f>
        <v>525904</v>
      </c>
      <c r="I1195" s="152">
        <v>-9600</v>
      </c>
      <c r="J1195" s="152">
        <f t="shared" ref="J1195" si="900">+I1195+H1195</f>
        <v>516304</v>
      </c>
      <c r="K1195" s="152">
        <v>344807</v>
      </c>
      <c r="L1195" s="225">
        <v>468100</v>
      </c>
      <c r="M1195" s="335">
        <f t="shared" si="866"/>
        <v>-9.3363599739688247E-2</v>
      </c>
      <c r="N1195" s="329">
        <f t="shared" si="880"/>
        <v>-48204</v>
      </c>
    </row>
    <row r="1196" spans="1:14" s="2" customFormat="1" ht="14.1" customHeight="1">
      <c r="A1196" s="37"/>
      <c r="B1196" s="38" t="s">
        <v>212</v>
      </c>
      <c r="C1196" s="39" t="s">
        <v>213</v>
      </c>
      <c r="D1196" s="51">
        <v>497171</v>
      </c>
      <c r="E1196" s="139">
        <v>426278</v>
      </c>
      <c r="F1196" s="139">
        <f>+F1197+F1198+F1199+F1200+F1211+F1212+F1213+F1214+F1215+F1217+F1218+F1220+F1219+F1216</f>
        <v>563669</v>
      </c>
      <c r="G1196" s="139">
        <f t="shared" ref="G1196:H1196" si="901">+G1197+G1198+G1199+G1200+G1211+G1212+G1213+G1214+G1215+G1217+G1218+G1220+G1219+G1216</f>
        <v>-45000</v>
      </c>
      <c r="H1196" s="139">
        <f t="shared" si="901"/>
        <v>518669</v>
      </c>
      <c r="I1196" s="139">
        <f t="shared" ref="I1196:J1196" si="902">+I1197+I1198+I1199+I1200+I1211+I1212+I1213+I1214+I1215+I1217+I1218+I1220+I1219+I1216</f>
        <v>-138952</v>
      </c>
      <c r="J1196" s="139">
        <f t="shared" si="902"/>
        <v>379717</v>
      </c>
      <c r="K1196" s="139">
        <f>+K1197+K1198+K1199+K1200+K1211+K1212+K1213+K1214+K1215+K1217+K1218+K1220+K1219+K1216</f>
        <v>235409</v>
      </c>
      <c r="L1196" s="139">
        <f>+L1197+L1198+L1199+L1200+L1211+L1212+L1213+L1214+L1215+L1217+L1218+L1220+L1219+L1216</f>
        <v>503900</v>
      </c>
      <c r="M1196" s="335">
        <f t="shared" si="866"/>
        <v>0.32704092784889799</v>
      </c>
      <c r="N1196" s="329">
        <f t="shared" si="880"/>
        <v>124183</v>
      </c>
    </row>
    <row r="1197" spans="1:14" ht="14.1" customHeight="1">
      <c r="A1197" s="32"/>
      <c r="B1197" s="33" t="s">
        <v>214</v>
      </c>
      <c r="C1197" s="34" t="s">
        <v>227</v>
      </c>
      <c r="D1197" s="52">
        <v>9730</v>
      </c>
      <c r="E1197" s="17">
        <v>8380</v>
      </c>
      <c r="F1197" s="226">
        <v>10000</v>
      </c>
      <c r="G1197" s="17"/>
      <c r="H1197" s="17">
        <f t="shared" si="899"/>
        <v>10000</v>
      </c>
      <c r="I1197" s="17"/>
      <c r="J1197" s="17">
        <f t="shared" ref="J1197:J1199" si="903">+I1197+H1197</f>
        <v>10000</v>
      </c>
      <c r="K1197" s="17">
        <v>4333</v>
      </c>
      <c r="L1197" s="226">
        <v>18000</v>
      </c>
      <c r="M1197" s="335">
        <f t="shared" si="866"/>
        <v>0.8</v>
      </c>
      <c r="N1197" s="329">
        <f t="shared" si="880"/>
        <v>8000</v>
      </c>
    </row>
    <row r="1198" spans="1:14" ht="14.1" customHeight="1">
      <c r="A1198" s="32"/>
      <c r="B1198" s="33">
        <v>5503</v>
      </c>
      <c r="C1198" s="34" t="s">
        <v>216</v>
      </c>
      <c r="D1198" s="52">
        <v>500</v>
      </c>
      <c r="E1198" s="17">
        <v>6000</v>
      </c>
      <c r="F1198" s="226">
        <v>800</v>
      </c>
      <c r="G1198" s="17"/>
      <c r="H1198" s="17">
        <f t="shared" si="899"/>
        <v>800</v>
      </c>
      <c r="I1198" s="17"/>
      <c r="J1198" s="17">
        <f t="shared" si="903"/>
        <v>800</v>
      </c>
      <c r="K1198" s="17"/>
      <c r="L1198" s="226"/>
      <c r="M1198" s="335">
        <f t="shared" si="866"/>
        <v>-1</v>
      </c>
      <c r="N1198" s="329">
        <f t="shared" si="880"/>
        <v>-800</v>
      </c>
    </row>
    <row r="1199" spans="1:14" ht="14.1" customHeight="1">
      <c r="A1199" s="32"/>
      <c r="B1199" s="33" t="s">
        <v>217</v>
      </c>
      <c r="C1199" s="34" t="s">
        <v>230</v>
      </c>
      <c r="D1199" s="52">
        <v>1000</v>
      </c>
      <c r="E1199" s="17">
        <v>13000</v>
      </c>
      <c r="F1199" s="226">
        <v>3000</v>
      </c>
      <c r="G1199" s="17"/>
      <c r="H1199" s="17">
        <f t="shared" si="899"/>
        <v>3000</v>
      </c>
      <c r="I1199" s="17"/>
      <c r="J1199" s="17">
        <f t="shared" si="903"/>
        <v>3000</v>
      </c>
      <c r="K1199" s="17">
        <v>1760</v>
      </c>
      <c r="L1199" s="226">
        <v>9000</v>
      </c>
      <c r="M1199" s="335">
        <f t="shared" si="866"/>
        <v>2</v>
      </c>
      <c r="N1199" s="329">
        <f t="shared" si="880"/>
        <v>6000</v>
      </c>
    </row>
    <row r="1200" spans="1:14" ht="14.1" customHeight="1">
      <c r="A1200" s="32"/>
      <c r="B1200" s="33" t="s">
        <v>231</v>
      </c>
      <c r="C1200" s="34" t="s">
        <v>219</v>
      </c>
      <c r="D1200" s="52">
        <v>185565</v>
      </c>
      <c r="E1200" s="17">
        <v>117000</v>
      </c>
      <c r="F1200" s="226">
        <f t="shared" ref="F1200" si="904">SUM(F1201:F1210)</f>
        <v>187759</v>
      </c>
      <c r="G1200" s="17">
        <f t="shared" ref="G1200:H1200" si="905">SUM(G1201:G1210)</f>
        <v>-42000</v>
      </c>
      <c r="H1200" s="17">
        <f t="shared" si="905"/>
        <v>145759</v>
      </c>
      <c r="I1200" s="17">
        <f t="shared" ref="I1200:J1200" si="906">SUM(I1201:I1210)</f>
        <v>-5000</v>
      </c>
      <c r="J1200" s="17">
        <f t="shared" si="906"/>
        <v>140759</v>
      </c>
      <c r="K1200" s="279">
        <f>SUM(K1201:K1210)</f>
        <v>100081</v>
      </c>
      <c r="L1200" s="226">
        <f t="shared" ref="L1200" si="907">SUM(L1201:L1210)</f>
        <v>168000</v>
      </c>
      <c r="M1200" s="335">
        <f t="shared" ref="M1200:M1263" si="908">(L1200-J1200)/J1200</f>
        <v>0.19352936579543759</v>
      </c>
      <c r="N1200" s="329">
        <f t="shared" si="880"/>
        <v>27241</v>
      </c>
    </row>
    <row r="1201" spans="1:14" s="5" customFormat="1" ht="14.1" customHeight="1">
      <c r="A1201" s="185"/>
      <c r="B1201" s="186" t="s">
        <v>533</v>
      </c>
      <c r="C1201" s="178" t="s">
        <v>407</v>
      </c>
      <c r="D1201" s="179">
        <v>107065</v>
      </c>
      <c r="E1201" s="182">
        <v>30000</v>
      </c>
      <c r="F1201" s="227">
        <v>50000</v>
      </c>
      <c r="G1201" s="182">
        <v>-35000</v>
      </c>
      <c r="H1201" s="182">
        <f t="shared" si="899"/>
        <v>15000</v>
      </c>
      <c r="I1201" s="182">
        <v>-5000</v>
      </c>
      <c r="J1201" s="182">
        <f t="shared" ref="J1201:J1220" si="909">+I1201+H1201</f>
        <v>10000</v>
      </c>
      <c r="K1201" s="182">
        <v>6132</v>
      </c>
      <c r="L1201" s="227">
        <v>15000</v>
      </c>
      <c r="M1201" s="335">
        <f t="shared" si="908"/>
        <v>0.5</v>
      </c>
      <c r="N1201" s="329">
        <f t="shared" si="880"/>
        <v>5000</v>
      </c>
    </row>
    <row r="1202" spans="1:14" s="5" customFormat="1" ht="14.1" customHeight="1">
      <c r="A1202" s="185"/>
      <c r="B1202" s="186" t="s">
        <v>534</v>
      </c>
      <c r="C1202" s="178" t="s">
        <v>408</v>
      </c>
      <c r="D1202" s="179">
        <v>62000</v>
      </c>
      <c r="E1202" s="182">
        <v>52000</v>
      </c>
      <c r="F1202" s="227">
        <v>90000</v>
      </c>
      <c r="G1202" s="182">
        <v>-10000</v>
      </c>
      <c r="H1202" s="182">
        <f t="shared" si="899"/>
        <v>80000</v>
      </c>
      <c r="I1202" s="182"/>
      <c r="J1202" s="182">
        <f t="shared" si="909"/>
        <v>80000</v>
      </c>
      <c r="K1202" s="182">
        <v>53341</v>
      </c>
      <c r="L1202" s="227">
        <v>90000</v>
      </c>
      <c r="M1202" s="335">
        <f t="shared" si="908"/>
        <v>0.125</v>
      </c>
      <c r="N1202" s="329">
        <f t="shared" si="880"/>
        <v>10000</v>
      </c>
    </row>
    <row r="1203" spans="1:14" s="5" customFormat="1" ht="14.1" customHeight="1">
      <c r="A1203" s="185"/>
      <c r="B1203" s="186" t="s">
        <v>535</v>
      </c>
      <c r="C1203" s="178" t="s">
        <v>409</v>
      </c>
      <c r="D1203" s="179">
        <v>3000</v>
      </c>
      <c r="E1203" s="182">
        <v>3000</v>
      </c>
      <c r="F1203" s="227">
        <v>4000</v>
      </c>
      <c r="G1203" s="182">
        <v>1000</v>
      </c>
      <c r="H1203" s="182">
        <f t="shared" si="899"/>
        <v>5000</v>
      </c>
      <c r="I1203" s="182"/>
      <c r="J1203" s="182">
        <f t="shared" si="909"/>
        <v>5000</v>
      </c>
      <c r="K1203" s="182">
        <v>4049</v>
      </c>
      <c r="L1203" s="227">
        <v>6000</v>
      </c>
      <c r="M1203" s="335">
        <f t="shared" si="908"/>
        <v>0.2</v>
      </c>
      <c r="N1203" s="329">
        <f t="shared" si="880"/>
        <v>1000</v>
      </c>
    </row>
    <row r="1204" spans="1:14" s="5" customFormat="1" ht="14.1" customHeight="1">
      <c r="A1204" s="185"/>
      <c r="B1204" s="186" t="s">
        <v>536</v>
      </c>
      <c r="C1204" s="178" t="s">
        <v>607</v>
      </c>
      <c r="D1204" s="179">
        <v>4000</v>
      </c>
      <c r="E1204" s="182">
        <v>6000</v>
      </c>
      <c r="F1204" s="227">
        <v>19000</v>
      </c>
      <c r="G1204" s="243">
        <v>2000</v>
      </c>
      <c r="H1204" s="182">
        <f t="shared" si="899"/>
        <v>21000</v>
      </c>
      <c r="I1204" s="182"/>
      <c r="J1204" s="182">
        <f t="shared" si="909"/>
        <v>21000</v>
      </c>
      <c r="K1204" s="182">
        <v>11983</v>
      </c>
      <c r="L1204" s="227">
        <v>25000</v>
      </c>
      <c r="M1204" s="335">
        <f t="shared" si="908"/>
        <v>0.19047619047619047</v>
      </c>
      <c r="N1204" s="329">
        <f t="shared" si="880"/>
        <v>4000</v>
      </c>
    </row>
    <row r="1205" spans="1:14" s="5" customFormat="1" ht="14.1" customHeight="1">
      <c r="A1205" s="185"/>
      <c r="B1205" s="186" t="s">
        <v>537</v>
      </c>
      <c r="C1205" s="178" t="s">
        <v>411</v>
      </c>
      <c r="D1205" s="179">
        <v>5000</v>
      </c>
      <c r="E1205" s="182">
        <v>9000</v>
      </c>
      <c r="F1205" s="227">
        <v>9000</v>
      </c>
      <c r="G1205" s="243">
        <v>1000</v>
      </c>
      <c r="H1205" s="182">
        <f t="shared" si="899"/>
        <v>10000</v>
      </c>
      <c r="I1205" s="182">
        <v>-3116</v>
      </c>
      <c r="J1205" s="182">
        <f t="shared" si="909"/>
        <v>6884</v>
      </c>
      <c r="K1205" s="182">
        <v>13196</v>
      </c>
      <c r="L1205" s="227">
        <v>10000</v>
      </c>
      <c r="M1205" s="335">
        <f t="shared" si="908"/>
        <v>0.45264381173736201</v>
      </c>
      <c r="N1205" s="329">
        <f t="shared" si="880"/>
        <v>3116</v>
      </c>
    </row>
    <row r="1206" spans="1:14" s="5" customFormat="1" ht="14.1" customHeight="1">
      <c r="A1206" s="185"/>
      <c r="B1206" s="186" t="s">
        <v>538</v>
      </c>
      <c r="C1206" s="178" t="s">
        <v>412</v>
      </c>
      <c r="D1206" s="179">
        <v>2500</v>
      </c>
      <c r="E1206" s="182">
        <v>5000</v>
      </c>
      <c r="F1206" s="227">
        <v>8000</v>
      </c>
      <c r="G1206" s="243">
        <v>-1000</v>
      </c>
      <c r="H1206" s="182">
        <f t="shared" si="899"/>
        <v>7000</v>
      </c>
      <c r="I1206" s="182">
        <v>3000</v>
      </c>
      <c r="J1206" s="182">
        <f t="shared" si="909"/>
        <v>10000</v>
      </c>
      <c r="K1206" s="182">
        <v>5585</v>
      </c>
      <c r="L1206" s="227">
        <v>10000</v>
      </c>
      <c r="M1206" s="335">
        <f t="shared" si="908"/>
        <v>0</v>
      </c>
      <c r="N1206" s="329">
        <f t="shared" si="880"/>
        <v>0</v>
      </c>
    </row>
    <row r="1207" spans="1:14" s="5" customFormat="1" ht="14.1" customHeight="1">
      <c r="A1207" s="185"/>
      <c r="B1207" s="186" t="s">
        <v>539</v>
      </c>
      <c r="C1207" s="178" t="s">
        <v>414</v>
      </c>
      <c r="D1207" s="179">
        <v>0</v>
      </c>
      <c r="E1207" s="182">
        <v>10000</v>
      </c>
      <c r="F1207" s="227">
        <v>1000</v>
      </c>
      <c r="G1207" s="182"/>
      <c r="H1207" s="182">
        <f t="shared" si="899"/>
        <v>1000</v>
      </c>
      <c r="I1207" s="182"/>
      <c r="J1207" s="182">
        <f t="shared" si="909"/>
        <v>1000</v>
      </c>
      <c r="K1207" s="182"/>
      <c r="L1207" s="317">
        <v>5000</v>
      </c>
      <c r="M1207" s="335">
        <f t="shared" si="908"/>
        <v>4</v>
      </c>
      <c r="N1207" s="329">
        <f t="shared" si="880"/>
        <v>4000</v>
      </c>
    </row>
    <row r="1208" spans="1:14" s="5" customFormat="1" ht="14.1" customHeight="1">
      <c r="A1208" s="185"/>
      <c r="B1208" s="186" t="s">
        <v>540</v>
      </c>
      <c r="C1208" s="178" t="s">
        <v>415</v>
      </c>
      <c r="D1208" s="179">
        <v>1000</v>
      </c>
      <c r="E1208" s="182">
        <v>0</v>
      </c>
      <c r="F1208" s="227">
        <v>3759</v>
      </c>
      <c r="G1208" s="182"/>
      <c r="H1208" s="182">
        <f t="shared" si="899"/>
        <v>3759</v>
      </c>
      <c r="I1208" s="182">
        <v>116</v>
      </c>
      <c r="J1208" s="182">
        <f t="shared" si="909"/>
        <v>3875</v>
      </c>
      <c r="K1208" s="182">
        <v>3875</v>
      </c>
      <c r="L1208" s="227">
        <v>4000</v>
      </c>
      <c r="M1208" s="335">
        <f t="shared" si="908"/>
        <v>3.2258064516129031E-2</v>
      </c>
      <c r="N1208" s="329">
        <f t="shared" si="880"/>
        <v>125</v>
      </c>
    </row>
    <row r="1209" spans="1:14" s="5" customFormat="1" ht="14.1" customHeight="1">
      <c r="A1209" s="185"/>
      <c r="B1209" s="186"/>
      <c r="C1209" s="178" t="s">
        <v>413</v>
      </c>
      <c r="D1209" s="179">
        <v>0</v>
      </c>
      <c r="E1209" s="182">
        <v>1000</v>
      </c>
      <c r="F1209" s="227"/>
      <c r="G1209" s="182"/>
      <c r="H1209" s="182">
        <f t="shared" si="899"/>
        <v>0</v>
      </c>
      <c r="I1209" s="182"/>
      <c r="J1209" s="182">
        <f t="shared" si="909"/>
        <v>0</v>
      </c>
      <c r="K1209" s="182"/>
      <c r="L1209" s="227"/>
      <c r="M1209" s="335" t="e">
        <f t="shared" si="908"/>
        <v>#DIV/0!</v>
      </c>
      <c r="N1209" s="329">
        <f t="shared" si="880"/>
        <v>0</v>
      </c>
    </row>
    <row r="1210" spans="1:14" s="5" customFormat="1" ht="14.1" customHeight="1">
      <c r="A1210" s="185"/>
      <c r="B1210" s="186"/>
      <c r="C1210" s="273" t="s">
        <v>608</v>
      </c>
      <c r="D1210" s="179">
        <v>1000</v>
      </c>
      <c r="E1210" s="182">
        <v>1000</v>
      </c>
      <c r="F1210" s="227">
        <v>3000</v>
      </c>
      <c r="G1210" s="182"/>
      <c r="H1210" s="182">
        <f t="shared" si="899"/>
        <v>3000</v>
      </c>
      <c r="I1210" s="182"/>
      <c r="J1210" s="182">
        <f t="shared" si="909"/>
        <v>3000</v>
      </c>
      <c r="K1210" s="182">
        <v>1920</v>
      </c>
      <c r="L1210" s="227">
        <v>3000</v>
      </c>
      <c r="M1210" s="335">
        <f t="shared" si="908"/>
        <v>0</v>
      </c>
      <c r="N1210" s="329">
        <f t="shared" si="880"/>
        <v>0</v>
      </c>
    </row>
    <row r="1211" spans="1:14" ht="14.1" customHeight="1">
      <c r="A1211" s="32"/>
      <c r="B1211" s="33" t="s">
        <v>253</v>
      </c>
      <c r="C1211" s="34" t="s">
        <v>254</v>
      </c>
      <c r="D1211" s="52">
        <v>10000</v>
      </c>
      <c r="E1211" s="17">
        <v>8000</v>
      </c>
      <c r="F1211" s="226">
        <v>8300</v>
      </c>
      <c r="G1211" s="17">
        <v>700</v>
      </c>
      <c r="H1211" s="17">
        <f t="shared" si="899"/>
        <v>9000</v>
      </c>
      <c r="I1211" s="17"/>
      <c r="J1211" s="17">
        <f t="shared" si="909"/>
        <v>9000</v>
      </c>
      <c r="K1211" s="17">
        <v>6139</v>
      </c>
      <c r="L1211" s="226">
        <v>13000</v>
      </c>
      <c r="M1211" s="335">
        <f t="shared" si="908"/>
        <v>0.44444444444444442</v>
      </c>
      <c r="N1211" s="329">
        <f t="shared" si="880"/>
        <v>4000</v>
      </c>
    </row>
    <row r="1212" spans="1:14" ht="14.25" customHeight="1">
      <c r="A1212" s="32"/>
      <c r="B1212" s="33" t="s">
        <v>255</v>
      </c>
      <c r="C1212" s="58" t="s">
        <v>221</v>
      </c>
      <c r="D1212" s="52">
        <v>17000</v>
      </c>
      <c r="E1212" s="17">
        <v>53000</v>
      </c>
      <c r="F1212" s="226">
        <v>62500</v>
      </c>
      <c r="G1212" s="17">
        <v>-2700</v>
      </c>
      <c r="H1212" s="17">
        <f t="shared" si="899"/>
        <v>59800</v>
      </c>
      <c r="I1212" s="17"/>
      <c r="J1212" s="17">
        <f t="shared" si="909"/>
        <v>59800</v>
      </c>
      <c r="K1212" s="17">
        <v>21737</v>
      </c>
      <c r="L1212" s="226">
        <v>65000</v>
      </c>
      <c r="M1212" s="335">
        <f t="shared" si="908"/>
        <v>8.6956521739130432E-2</v>
      </c>
      <c r="N1212" s="329">
        <f t="shared" si="880"/>
        <v>5200</v>
      </c>
    </row>
    <row r="1213" spans="1:14" ht="14.1" customHeight="1">
      <c r="A1213" s="32"/>
      <c r="B1213" s="33" t="s">
        <v>256</v>
      </c>
      <c r="C1213" s="58" t="s">
        <v>257</v>
      </c>
      <c r="D1213" s="52">
        <v>173042</v>
      </c>
      <c r="E1213" s="17">
        <v>166000</v>
      </c>
      <c r="F1213" s="226">
        <v>186000</v>
      </c>
      <c r="G1213" s="17"/>
      <c r="H1213" s="17">
        <f t="shared" si="899"/>
        <v>186000</v>
      </c>
      <c r="I1213" s="193">
        <v>-143000</v>
      </c>
      <c r="J1213" s="17">
        <f t="shared" si="909"/>
        <v>43000</v>
      </c>
      <c r="K1213" s="17">
        <v>10875</v>
      </c>
      <c r="L1213" s="226">
        <v>75000</v>
      </c>
      <c r="M1213" s="335">
        <f t="shared" si="908"/>
        <v>0.7441860465116279</v>
      </c>
      <c r="N1213" s="329">
        <f t="shared" si="880"/>
        <v>32000</v>
      </c>
    </row>
    <row r="1214" spans="1:14" ht="14.1" customHeight="1">
      <c r="A1214" s="32"/>
      <c r="B1214" s="33" t="s">
        <v>258</v>
      </c>
      <c r="C1214" s="58" t="s">
        <v>259</v>
      </c>
      <c r="D1214" s="52">
        <v>5000</v>
      </c>
      <c r="E1214" s="17">
        <v>6000</v>
      </c>
      <c r="F1214" s="226">
        <v>14000</v>
      </c>
      <c r="G1214" s="17">
        <v>-1000</v>
      </c>
      <c r="H1214" s="17">
        <f t="shared" si="899"/>
        <v>13000</v>
      </c>
      <c r="I1214" s="17">
        <v>5000</v>
      </c>
      <c r="J1214" s="17">
        <f t="shared" si="909"/>
        <v>18000</v>
      </c>
      <c r="K1214" s="17">
        <v>30633</v>
      </c>
      <c r="L1214" s="226">
        <v>30000</v>
      </c>
      <c r="M1214" s="335">
        <f t="shared" si="908"/>
        <v>0.66666666666666663</v>
      </c>
      <c r="N1214" s="329">
        <f t="shared" si="880"/>
        <v>12000</v>
      </c>
    </row>
    <row r="1215" spans="1:14" ht="14.1" customHeight="1">
      <c r="A1215" s="32"/>
      <c r="B1215" s="33" t="s">
        <v>261</v>
      </c>
      <c r="C1215" s="58" t="s">
        <v>262</v>
      </c>
      <c r="D1215" s="52">
        <v>2000</v>
      </c>
      <c r="E1215" s="17">
        <v>2000</v>
      </c>
      <c r="F1215" s="226">
        <v>3000</v>
      </c>
      <c r="G1215" s="17"/>
      <c r="H1215" s="17">
        <f t="shared" si="899"/>
        <v>3000</v>
      </c>
      <c r="I1215" s="17"/>
      <c r="J1215" s="17">
        <f t="shared" si="909"/>
        <v>3000</v>
      </c>
      <c r="K1215" s="17">
        <v>365</v>
      </c>
      <c r="L1215" s="226">
        <v>5000</v>
      </c>
      <c r="M1215" s="335">
        <f t="shared" si="908"/>
        <v>0.66666666666666663</v>
      </c>
      <c r="N1215" s="329">
        <f t="shared" si="880"/>
        <v>2000</v>
      </c>
    </row>
    <row r="1216" spans="1:14" ht="14.1" customHeight="1">
      <c r="A1216" s="32"/>
      <c r="B1216" s="33">
        <v>5523</v>
      </c>
      <c r="C1216" s="58" t="s">
        <v>609</v>
      </c>
      <c r="D1216" s="52"/>
      <c r="E1216" s="17">
        <v>0</v>
      </c>
      <c r="F1216" s="226">
        <v>1500</v>
      </c>
      <c r="G1216" s="17"/>
      <c r="H1216" s="17">
        <f t="shared" si="899"/>
        <v>1500</v>
      </c>
      <c r="I1216" s="17"/>
      <c r="J1216" s="17">
        <f t="shared" si="909"/>
        <v>1500</v>
      </c>
      <c r="K1216" s="17">
        <v>18</v>
      </c>
      <c r="L1216" s="226">
        <v>1500</v>
      </c>
      <c r="M1216" s="335">
        <f t="shared" si="908"/>
        <v>0</v>
      </c>
      <c r="N1216" s="329">
        <f t="shared" si="880"/>
        <v>0</v>
      </c>
    </row>
    <row r="1217" spans="1:14" ht="14.1" customHeight="1">
      <c r="A1217" s="32"/>
      <c r="B1217" s="33" t="s">
        <v>576</v>
      </c>
      <c r="C1217" s="58" t="s">
        <v>585</v>
      </c>
      <c r="D1217" s="52">
        <v>44264</v>
      </c>
      <c r="E1217" s="17">
        <v>25889</v>
      </c>
      <c r="F1217" s="226">
        <v>35000</v>
      </c>
      <c r="G1217" s="17"/>
      <c r="H1217" s="17">
        <f t="shared" si="899"/>
        <v>35000</v>
      </c>
      <c r="I1217" s="255">
        <v>4048</v>
      </c>
      <c r="J1217" s="17">
        <f t="shared" si="909"/>
        <v>39048</v>
      </c>
      <c r="K1217" s="17">
        <v>45222</v>
      </c>
      <c r="L1217" s="226">
        <v>79000</v>
      </c>
      <c r="M1217" s="335">
        <f t="shared" si="908"/>
        <v>1.0231509936488425</v>
      </c>
      <c r="N1217" s="329">
        <f t="shared" si="880"/>
        <v>39952</v>
      </c>
    </row>
    <row r="1218" spans="1:14" ht="14.1" customHeight="1">
      <c r="A1218" s="32"/>
      <c r="B1218" s="33" t="s">
        <v>263</v>
      </c>
      <c r="C1218" s="58" t="s">
        <v>264</v>
      </c>
      <c r="D1218" s="52">
        <v>17060</v>
      </c>
      <c r="E1218" s="17">
        <v>12350</v>
      </c>
      <c r="F1218" s="226">
        <v>12000</v>
      </c>
      <c r="G1218" s="17"/>
      <c r="H1218" s="17">
        <f t="shared" si="899"/>
        <v>12000</v>
      </c>
      <c r="I1218" s="17"/>
      <c r="J1218" s="17">
        <f t="shared" si="909"/>
        <v>12000</v>
      </c>
      <c r="K1218" s="17">
        <v>3043</v>
      </c>
      <c r="L1218" s="226">
        <v>15000</v>
      </c>
      <c r="M1218" s="335">
        <f t="shared" si="908"/>
        <v>0.25</v>
      </c>
      <c r="N1218" s="329">
        <f t="shared" si="880"/>
        <v>3000</v>
      </c>
    </row>
    <row r="1219" spans="1:14" ht="14.1" customHeight="1">
      <c r="A1219" s="32"/>
      <c r="B1219" s="33">
        <v>5532</v>
      </c>
      <c r="C1219" s="58" t="s">
        <v>595</v>
      </c>
      <c r="D1219" s="52"/>
      <c r="E1219" s="17">
        <v>0</v>
      </c>
      <c r="F1219" s="226">
        <v>200</v>
      </c>
      <c r="G1219" s="17"/>
      <c r="H1219" s="17">
        <f t="shared" si="899"/>
        <v>200</v>
      </c>
      <c r="I1219" s="17"/>
      <c r="J1219" s="17">
        <f t="shared" si="909"/>
        <v>200</v>
      </c>
      <c r="K1219" s="17">
        <v>319</v>
      </c>
      <c r="L1219" s="226">
        <v>400</v>
      </c>
      <c r="M1219" s="335">
        <f t="shared" si="908"/>
        <v>1</v>
      </c>
      <c r="N1219" s="329">
        <f t="shared" si="880"/>
        <v>200</v>
      </c>
    </row>
    <row r="1220" spans="1:14" ht="14.1" customHeight="1">
      <c r="A1220" s="32"/>
      <c r="B1220" s="33" t="s">
        <v>305</v>
      </c>
      <c r="C1220" s="58" t="s">
        <v>348</v>
      </c>
      <c r="D1220" s="113">
        <v>32010</v>
      </c>
      <c r="E1220" s="17">
        <v>8659</v>
      </c>
      <c r="F1220" s="226">
        <v>39610</v>
      </c>
      <c r="G1220" s="17"/>
      <c r="H1220" s="17">
        <f t="shared" si="899"/>
        <v>39610</v>
      </c>
      <c r="I1220" s="17"/>
      <c r="J1220" s="17">
        <f t="shared" si="909"/>
        <v>39610</v>
      </c>
      <c r="K1220" s="17">
        <v>10884</v>
      </c>
      <c r="L1220" s="226">
        <v>25000</v>
      </c>
      <c r="M1220" s="335">
        <f t="shared" si="908"/>
        <v>-0.36884625094673062</v>
      </c>
      <c r="N1220" s="329">
        <f t="shared" si="880"/>
        <v>-14610</v>
      </c>
    </row>
    <row r="1221" spans="1:14" ht="14.1" customHeight="1">
      <c r="A1221" s="45" t="s">
        <v>610</v>
      </c>
      <c r="B1221" s="46"/>
      <c r="C1221" s="47" t="s">
        <v>611</v>
      </c>
      <c r="D1221" s="53">
        <v>1053871</v>
      </c>
      <c r="E1221" s="50">
        <v>1200563</v>
      </c>
      <c r="F1221" s="50">
        <f t="shared" ref="F1221" si="910">+F1222+F1223</f>
        <v>1616880</v>
      </c>
      <c r="G1221" s="50">
        <f>+G1222+G1223</f>
        <v>50041</v>
      </c>
      <c r="H1221" s="50">
        <f t="shared" ref="H1221:J1221" si="911">+H1222+H1223</f>
        <v>1666921</v>
      </c>
      <c r="I1221" s="50">
        <f>+I1222+I1223</f>
        <v>0</v>
      </c>
      <c r="J1221" s="50">
        <f t="shared" si="911"/>
        <v>1666921</v>
      </c>
      <c r="K1221" s="50">
        <f t="shared" ref="K1221:L1221" si="912">+K1222+K1223</f>
        <v>1087873</v>
      </c>
      <c r="L1221" s="50">
        <f t="shared" si="912"/>
        <v>1970300</v>
      </c>
      <c r="M1221" s="335">
        <f t="shared" si="908"/>
        <v>0.18199962685694163</v>
      </c>
      <c r="N1221" s="329">
        <f t="shared" si="880"/>
        <v>303379</v>
      </c>
    </row>
    <row r="1222" spans="1:14" ht="14.1" customHeight="1">
      <c r="A1222" s="32"/>
      <c r="B1222" s="38" t="s">
        <v>210</v>
      </c>
      <c r="C1222" s="39" t="s">
        <v>211</v>
      </c>
      <c r="D1222" s="51">
        <v>1016608</v>
      </c>
      <c r="E1222" s="152">
        <v>1154103</v>
      </c>
      <c r="F1222" s="225">
        <v>1567913</v>
      </c>
      <c r="G1222" s="257">
        <v>43700</v>
      </c>
      <c r="H1222" s="152">
        <f t="shared" ref="H1222:H1226" si="913">+G1222+F1222</f>
        <v>1611613</v>
      </c>
      <c r="I1222" s="152"/>
      <c r="J1222" s="152">
        <f t="shared" ref="J1222" si="914">+I1222+H1222</f>
        <v>1611613</v>
      </c>
      <c r="K1222" s="152">
        <v>1048373</v>
      </c>
      <c r="L1222" s="225">
        <v>1915000</v>
      </c>
      <c r="M1222" s="335">
        <f t="shared" si="908"/>
        <v>0.18825052912827087</v>
      </c>
      <c r="N1222" s="329">
        <f t="shared" ref="N1222:N1285" si="915">L1222-J1222</f>
        <v>303387</v>
      </c>
    </row>
    <row r="1223" spans="1:14" ht="14.1" customHeight="1">
      <c r="A1223" s="32"/>
      <c r="B1223" s="38" t="s">
        <v>212</v>
      </c>
      <c r="C1223" s="39" t="s">
        <v>213</v>
      </c>
      <c r="D1223" s="51">
        <v>37263</v>
      </c>
      <c r="E1223" s="139">
        <v>46460</v>
      </c>
      <c r="F1223" s="139">
        <f t="shared" ref="F1223" si="916">+F1224+F1225+F1226</f>
        <v>48967</v>
      </c>
      <c r="G1223" s="257">
        <f t="shared" ref="G1223:H1223" si="917">+G1224+G1225+G1226</f>
        <v>6341</v>
      </c>
      <c r="H1223" s="139">
        <f t="shared" si="917"/>
        <v>55308</v>
      </c>
      <c r="I1223" s="139">
        <f t="shared" ref="I1223:J1223" si="918">+I1224+I1225+I1226</f>
        <v>0</v>
      </c>
      <c r="J1223" s="139">
        <f t="shared" si="918"/>
        <v>55308</v>
      </c>
      <c r="K1223" s="139">
        <f t="shared" ref="K1223:L1223" si="919">+K1224+K1225+K1226</f>
        <v>39500</v>
      </c>
      <c r="L1223" s="139">
        <f t="shared" si="919"/>
        <v>55300</v>
      </c>
      <c r="M1223" s="335">
        <f t="shared" si="908"/>
        <v>-1.446445360526506E-4</v>
      </c>
      <c r="N1223" s="329">
        <f t="shared" si="915"/>
        <v>-8</v>
      </c>
    </row>
    <row r="1224" spans="1:14" ht="14.1" customHeight="1">
      <c r="A1224" s="32"/>
      <c r="B1224" s="33">
        <v>5504</v>
      </c>
      <c r="C1224" s="34" t="s">
        <v>230</v>
      </c>
      <c r="D1224" s="52">
        <v>5718</v>
      </c>
      <c r="E1224" s="17">
        <v>5414</v>
      </c>
      <c r="F1224" s="226">
        <v>7164</v>
      </c>
      <c r="G1224" s="17">
        <v>2839</v>
      </c>
      <c r="H1224" s="17">
        <f t="shared" si="913"/>
        <v>10003</v>
      </c>
      <c r="I1224" s="17"/>
      <c r="J1224" s="17">
        <f t="shared" ref="J1224:J1226" si="920">+I1224+H1224</f>
        <v>10003</v>
      </c>
      <c r="K1224" s="17">
        <v>4984</v>
      </c>
      <c r="L1224" s="226">
        <v>10003</v>
      </c>
      <c r="M1224" s="335">
        <f t="shared" si="908"/>
        <v>0</v>
      </c>
      <c r="N1224" s="329">
        <f t="shared" si="915"/>
        <v>0</v>
      </c>
    </row>
    <row r="1225" spans="1:14" ht="14.1" customHeight="1">
      <c r="A1225" s="32"/>
      <c r="B1225" s="33" t="s">
        <v>576</v>
      </c>
      <c r="C1225" s="34" t="s">
        <v>612</v>
      </c>
      <c r="D1225" s="52">
        <v>31545</v>
      </c>
      <c r="E1225" s="17">
        <v>36213</v>
      </c>
      <c r="F1225" s="226">
        <v>34029</v>
      </c>
      <c r="G1225" s="17"/>
      <c r="H1225" s="17">
        <f t="shared" si="913"/>
        <v>34029</v>
      </c>
      <c r="I1225" s="17"/>
      <c r="J1225" s="17">
        <f t="shared" si="920"/>
        <v>34029</v>
      </c>
      <c r="K1225" s="17">
        <v>34222</v>
      </c>
      <c r="L1225" s="226">
        <v>34031</v>
      </c>
      <c r="M1225" s="335">
        <f t="shared" si="908"/>
        <v>5.877339915954039E-5</v>
      </c>
      <c r="N1225" s="329">
        <f t="shared" si="915"/>
        <v>2</v>
      </c>
    </row>
    <row r="1226" spans="1:14" ht="14.1" customHeight="1">
      <c r="A1226" s="32"/>
      <c r="B1226" s="33">
        <v>5525</v>
      </c>
      <c r="C1226" s="34" t="s">
        <v>613</v>
      </c>
      <c r="D1226" s="52"/>
      <c r="E1226" s="17">
        <v>4833</v>
      </c>
      <c r="F1226" s="226">
        <v>7774</v>
      </c>
      <c r="G1226" s="17">
        <v>3502</v>
      </c>
      <c r="H1226" s="17">
        <f t="shared" si="913"/>
        <v>11276</v>
      </c>
      <c r="I1226" s="17"/>
      <c r="J1226" s="17">
        <f t="shared" si="920"/>
        <v>11276</v>
      </c>
      <c r="K1226" s="17">
        <v>294</v>
      </c>
      <c r="L1226" s="226">
        <v>11266</v>
      </c>
      <c r="M1226" s="335">
        <f t="shared" si="908"/>
        <v>-8.8683930471798505E-4</v>
      </c>
      <c r="N1226" s="329">
        <f t="shared" si="915"/>
        <v>-10</v>
      </c>
    </row>
    <row r="1227" spans="1:14" ht="14.1" customHeight="1">
      <c r="A1227" s="56" t="s">
        <v>614</v>
      </c>
      <c r="B1227" s="46"/>
      <c r="C1227" s="47" t="s">
        <v>615</v>
      </c>
      <c r="D1227" s="53">
        <v>63421</v>
      </c>
      <c r="E1227" s="50">
        <v>70646</v>
      </c>
      <c r="F1227" s="50">
        <f t="shared" ref="F1227:L1227" si="921">+F1228</f>
        <v>83170</v>
      </c>
      <c r="G1227" s="50">
        <f t="shared" si="921"/>
        <v>0</v>
      </c>
      <c r="H1227" s="50">
        <f t="shared" si="921"/>
        <v>83170</v>
      </c>
      <c r="I1227" s="50">
        <f t="shared" si="921"/>
        <v>0</v>
      </c>
      <c r="J1227" s="50">
        <f t="shared" si="921"/>
        <v>83170</v>
      </c>
      <c r="K1227" s="50">
        <f t="shared" si="921"/>
        <v>62404</v>
      </c>
      <c r="L1227" s="50">
        <f t="shared" si="921"/>
        <v>88500</v>
      </c>
      <c r="M1227" s="335">
        <f t="shared" si="908"/>
        <v>6.4085607791270885E-2</v>
      </c>
      <c r="N1227" s="329">
        <f t="shared" si="915"/>
        <v>5330</v>
      </c>
    </row>
    <row r="1228" spans="1:14" ht="14.1" customHeight="1">
      <c r="A1228" s="32"/>
      <c r="B1228" s="38" t="s">
        <v>210</v>
      </c>
      <c r="C1228" s="39" t="s">
        <v>272</v>
      </c>
      <c r="D1228" s="52">
        <v>63421</v>
      </c>
      <c r="E1228" s="143">
        <v>70646</v>
      </c>
      <c r="F1228" s="226">
        <v>83170</v>
      </c>
      <c r="G1228" s="143"/>
      <c r="H1228" s="143">
        <f t="shared" ref="H1228" si="922">+G1228+F1228</f>
        <v>83170</v>
      </c>
      <c r="I1228" s="143"/>
      <c r="J1228" s="143">
        <f t="shared" ref="J1228" si="923">+I1228+H1228</f>
        <v>83170</v>
      </c>
      <c r="K1228" s="143">
        <v>62404</v>
      </c>
      <c r="L1228" s="225">
        <v>88500</v>
      </c>
      <c r="M1228" s="335">
        <f t="shared" si="908"/>
        <v>6.4085607791270885E-2</v>
      </c>
      <c r="N1228" s="329">
        <f t="shared" si="915"/>
        <v>5330</v>
      </c>
    </row>
    <row r="1229" spans="1:14" ht="14.1" customHeight="1">
      <c r="A1229" s="45" t="s">
        <v>616</v>
      </c>
      <c r="B1229" s="46"/>
      <c r="C1229" s="47" t="s">
        <v>617</v>
      </c>
      <c r="D1229" s="53">
        <v>134907</v>
      </c>
      <c r="E1229" s="50">
        <v>180663</v>
      </c>
      <c r="F1229" s="50">
        <f t="shared" ref="F1229" si="924">+F1230+F1231</f>
        <v>229892</v>
      </c>
      <c r="G1229" s="50">
        <f t="shared" ref="G1229:H1229" si="925">+G1230+G1231</f>
        <v>5440</v>
      </c>
      <c r="H1229" s="50">
        <f t="shared" si="925"/>
        <v>235332</v>
      </c>
      <c r="I1229" s="50">
        <f t="shared" ref="I1229:J1229" si="926">+I1230+I1231</f>
        <v>2400</v>
      </c>
      <c r="J1229" s="50">
        <f t="shared" si="926"/>
        <v>237732</v>
      </c>
      <c r="K1229" s="50">
        <f t="shared" ref="K1229:L1229" si="927">+K1230+K1231</f>
        <v>168596.64</v>
      </c>
      <c r="L1229" s="50">
        <f t="shared" si="927"/>
        <v>215500</v>
      </c>
      <c r="M1229" s="335">
        <f>(L1229-J1229)/J1229</f>
        <v>-9.3517069641444989E-2</v>
      </c>
      <c r="N1229" s="329">
        <f t="shared" si="915"/>
        <v>-22232</v>
      </c>
    </row>
    <row r="1230" spans="1:14" ht="14.1" customHeight="1">
      <c r="A1230" s="32"/>
      <c r="B1230" s="38" t="s">
        <v>210</v>
      </c>
      <c r="C1230" s="39" t="s">
        <v>211</v>
      </c>
      <c r="D1230" s="51">
        <v>89954</v>
      </c>
      <c r="E1230" s="152">
        <v>121233</v>
      </c>
      <c r="F1230" s="225">
        <v>159548</v>
      </c>
      <c r="G1230" s="257">
        <v>770</v>
      </c>
      <c r="H1230" s="152">
        <f t="shared" ref="H1230:H1255" si="928">+G1230+F1230</f>
        <v>160318</v>
      </c>
      <c r="I1230" s="321">
        <f>-9000+2400</f>
        <v>-6600</v>
      </c>
      <c r="J1230" s="152">
        <f t="shared" ref="J1230" si="929">+I1230+H1230</f>
        <v>153718</v>
      </c>
      <c r="K1230" s="152">
        <v>103289</v>
      </c>
      <c r="L1230" s="225">
        <v>121500</v>
      </c>
      <c r="M1230" s="335">
        <f t="shared" si="908"/>
        <v>-0.20959158979429865</v>
      </c>
      <c r="N1230" s="329">
        <f t="shared" si="915"/>
        <v>-32218</v>
      </c>
    </row>
    <row r="1231" spans="1:14" ht="14.1" customHeight="1">
      <c r="A1231" s="32"/>
      <c r="B1231" s="38">
        <v>55</v>
      </c>
      <c r="C1231" s="39" t="s">
        <v>213</v>
      </c>
      <c r="D1231" s="51">
        <v>44953</v>
      </c>
      <c r="E1231" s="139">
        <v>59430</v>
      </c>
      <c r="F1231" s="139">
        <f>+F1232+F1233+F1234+F1235+F1247+F1248+F1249+F1251+F1252+F1253+F1254+F1255+F1250</f>
        <v>70344</v>
      </c>
      <c r="G1231" s="139">
        <f t="shared" ref="G1231:H1231" si="930">+G1232+G1233+G1234+G1235+G1247+G1248+G1249+G1251+G1252+G1253+G1254+G1255+G1250</f>
        <v>4670</v>
      </c>
      <c r="H1231" s="139">
        <f t="shared" si="930"/>
        <v>75014</v>
      </c>
      <c r="I1231" s="139">
        <f t="shared" ref="I1231:J1231" si="931">+I1232+I1233+I1234+I1235+I1247+I1248+I1249+I1251+I1252+I1253+I1254+I1255+I1250</f>
        <v>9000</v>
      </c>
      <c r="J1231" s="139">
        <f t="shared" si="931"/>
        <v>84014</v>
      </c>
      <c r="K1231" s="139">
        <f t="shared" ref="K1231" si="932">+K1232+K1233+K1234+K1235+K1247+K1248+K1249+K1251+K1252+K1253+K1254+K1255+K1250</f>
        <v>65307.64</v>
      </c>
      <c r="L1231" s="139">
        <f>+L1232+L1233+L1234+L1235+L1247+L1248+L1249+L1251+L1252+L1253+L1254+L1255+L1250</f>
        <v>94000</v>
      </c>
      <c r="M1231" s="335">
        <f t="shared" si="908"/>
        <v>0.11886114219058729</v>
      </c>
      <c r="N1231" s="329">
        <f t="shared" si="915"/>
        <v>9986</v>
      </c>
    </row>
    <row r="1232" spans="1:14" ht="14.1" customHeight="1">
      <c r="A1232" s="32"/>
      <c r="B1232" s="33">
        <v>5500</v>
      </c>
      <c r="C1232" s="34" t="s">
        <v>227</v>
      </c>
      <c r="D1232" s="52">
        <v>3200</v>
      </c>
      <c r="E1232" s="17">
        <v>3900</v>
      </c>
      <c r="F1232" s="226">
        <v>4100</v>
      </c>
      <c r="G1232" s="17"/>
      <c r="H1232" s="17">
        <f t="shared" si="928"/>
        <v>4100</v>
      </c>
      <c r="I1232" s="17"/>
      <c r="J1232" s="17">
        <f t="shared" ref="J1232:J1234" si="933">+I1232+H1232</f>
        <v>4100</v>
      </c>
      <c r="K1232" s="17">
        <v>4122</v>
      </c>
      <c r="L1232" s="226">
        <v>4000</v>
      </c>
      <c r="M1232" s="335">
        <f t="shared" si="908"/>
        <v>-2.4390243902439025E-2</v>
      </c>
      <c r="N1232" s="329">
        <f t="shared" si="915"/>
        <v>-100</v>
      </c>
    </row>
    <row r="1233" spans="1:14" ht="14.1" customHeight="1">
      <c r="A1233" s="32"/>
      <c r="B1233" s="33">
        <v>5503</v>
      </c>
      <c r="C1233" s="34" t="s">
        <v>216</v>
      </c>
      <c r="D1233" s="52">
        <v>200</v>
      </c>
      <c r="E1233" s="17">
        <v>0</v>
      </c>
      <c r="F1233" s="226">
        <v>300</v>
      </c>
      <c r="G1233" s="17"/>
      <c r="H1233" s="17">
        <f t="shared" si="928"/>
        <v>300</v>
      </c>
      <c r="I1233" s="17"/>
      <c r="J1233" s="17">
        <f t="shared" si="933"/>
        <v>300</v>
      </c>
      <c r="K1233" s="17"/>
      <c r="L1233" s="226"/>
      <c r="M1233" s="335">
        <f t="shared" si="908"/>
        <v>-1</v>
      </c>
      <c r="N1233" s="329">
        <f t="shared" si="915"/>
        <v>-300</v>
      </c>
    </row>
    <row r="1234" spans="1:14" ht="14.1" customHeight="1">
      <c r="A1234" s="32"/>
      <c r="B1234" s="33">
        <v>5504</v>
      </c>
      <c r="C1234" s="34" t="s">
        <v>230</v>
      </c>
      <c r="D1234" s="52">
        <v>800</v>
      </c>
      <c r="E1234" s="17">
        <v>1500</v>
      </c>
      <c r="F1234" s="226">
        <v>1200</v>
      </c>
      <c r="G1234" s="17"/>
      <c r="H1234" s="17">
        <f t="shared" si="928"/>
        <v>1200</v>
      </c>
      <c r="I1234" s="17"/>
      <c r="J1234" s="17">
        <f t="shared" si="933"/>
        <v>1200</v>
      </c>
      <c r="K1234" s="17">
        <v>350</v>
      </c>
      <c r="L1234" s="226">
        <v>1500</v>
      </c>
      <c r="M1234" s="335">
        <f t="shared" si="908"/>
        <v>0.25</v>
      </c>
      <c r="N1234" s="329">
        <f t="shared" si="915"/>
        <v>300</v>
      </c>
    </row>
    <row r="1235" spans="1:14" ht="14.1" customHeight="1">
      <c r="A1235" s="32"/>
      <c r="B1235" s="33">
        <v>5511</v>
      </c>
      <c r="C1235" s="34" t="s">
        <v>219</v>
      </c>
      <c r="D1235" s="52">
        <v>20400</v>
      </c>
      <c r="E1235" s="17">
        <v>14900</v>
      </c>
      <c r="F1235" s="226">
        <f t="shared" ref="F1235" si="934">SUM(F1236:F1245)</f>
        <v>28364</v>
      </c>
      <c r="G1235" s="17">
        <f>SUM(G1236:G1246)</f>
        <v>2301</v>
      </c>
      <c r="H1235" s="17">
        <f>SUM(H1236:H1246)</f>
        <v>30665</v>
      </c>
      <c r="I1235" s="17">
        <f>SUM(I1236:I1246)</f>
        <v>0</v>
      </c>
      <c r="J1235" s="17">
        <f>SUM(J1236:J1246)</f>
        <v>30665</v>
      </c>
      <c r="K1235" s="17">
        <f t="shared" ref="K1235" si="935">SUM(K1236:K1246)</f>
        <v>17388</v>
      </c>
      <c r="L1235" s="17">
        <f>SUM(L1236:L1246)</f>
        <v>33500</v>
      </c>
      <c r="M1235" s="335">
        <f t="shared" si="908"/>
        <v>9.2450676667210172E-2</v>
      </c>
      <c r="N1235" s="329">
        <f t="shared" si="915"/>
        <v>2835</v>
      </c>
    </row>
    <row r="1236" spans="1:14" s="8" customFormat="1" ht="14.1" customHeight="1">
      <c r="A1236" s="176"/>
      <c r="B1236" s="177"/>
      <c r="C1236" s="178" t="s">
        <v>407</v>
      </c>
      <c r="D1236" s="180">
        <v>2500</v>
      </c>
      <c r="E1236" s="182">
        <v>1000</v>
      </c>
      <c r="F1236" s="227">
        <v>2000</v>
      </c>
      <c r="G1236" s="182"/>
      <c r="H1236" s="182">
        <f t="shared" si="928"/>
        <v>2000</v>
      </c>
      <c r="I1236" s="182">
        <v>-500</v>
      </c>
      <c r="J1236" s="182">
        <f t="shared" ref="J1236:J1255" si="936">+I1236+H1236</f>
        <v>1500</v>
      </c>
      <c r="K1236" s="182">
        <v>2518</v>
      </c>
      <c r="L1236" s="227">
        <v>1400</v>
      </c>
      <c r="M1236" s="335">
        <f t="shared" si="908"/>
        <v>-6.6666666666666666E-2</v>
      </c>
      <c r="N1236" s="329">
        <f t="shared" si="915"/>
        <v>-100</v>
      </c>
    </row>
    <row r="1237" spans="1:14" s="8" customFormat="1" ht="14.1" customHeight="1">
      <c r="A1237" s="176"/>
      <c r="B1237" s="177"/>
      <c r="C1237" s="178" t="s">
        <v>408</v>
      </c>
      <c r="D1237" s="180">
        <v>8000</v>
      </c>
      <c r="E1237" s="182">
        <v>9600</v>
      </c>
      <c r="F1237" s="227">
        <v>13000</v>
      </c>
      <c r="G1237" s="182"/>
      <c r="H1237" s="182">
        <f t="shared" si="928"/>
        <v>13000</v>
      </c>
      <c r="I1237" s="182"/>
      <c r="J1237" s="182">
        <f t="shared" si="936"/>
        <v>13000</v>
      </c>
      <c r="K1237" s="182">
        <v>7916</v>
      </c>
      <c r="L1237" s="227">
        <v>15000</v>
      </c>
      <c r="M1237" s="335">
        <f t="shared" si="908"/>
        <v>0.15384615384615385</v>
      </c>
      <c r="N1237" s="329">
        <f t="shared" si="915"/>
        <v>2000</v>
      </c>
    </row>
    <row r="1238" spans="1:14" s="8" customFormat="1" ht="14.1" customHeight="1">
      <c r="A1238" s="176"/>
      <c r="B1238" s="177"/>
      <c r="C1238" s="178" t="s">
        <v>409</v>
      </c>
      <c r="D1238" s="180">
        <v>500</v>
      </c>
      <c r="E1238" s="182">
        <v>500</v>
      </c>
      <c r="F1238" s="227">
        <v>500</v>
      </c>
      <c r="G1238" s="182"/>
      <c r="H1238" s="182">
        <f t="shared" si="928"/>
        <v>500</v>
      </c>
      <c r="I1238" s="182"/>
      <c r="J1238" s="182">
        <f t="shared" si="936"/>
        <v>500</v>
      </c>
      <c r="K1238" s="182">
        <v>387</v>
      </c>
      <c r="L1238" s="227">
        <v>550</v>
      </c>
      <c r="M1238" s="335">
        <f t="shared" si="908"/>
        <v>0.1</v>
      </c>
      <c r="N1238" s="329">
        <f t="shared" si="915"/>
        <v>50</v>
      </c>
    </row>
    <row r="1239" spans="1:14" s="8" customFormat="1" ht="14.1" customHeight="1">
      <c r="A1239" s="176"/>
      <c r="B1239" s="177"/>
      <c r="C1239" s="178" t="s">
        <v>607</v>
      </c>
      <c r="D1239" s="180">
        <v>1000</v>
      </c>
      <c r="E1239" s="182">
        <v>1000</v>
      </c>
      <c r="F1239" s="227">
        <v>1100</v>
      </c>
      <c r="G1239" s="182"/>
      <c r="H1239" s="182">
        <f t="shared" si="928"/>
        <v>1100</v>
      </c>
      <c r="I1239" s="182">
        <v>500</v>
      </c>
      <c r="J1239" s="182">
        <f t="shared" si="936"/>
        <v>1600</v>
      </c>
      <c r="K1239" s="182">
        <v>2277</v>
      </c>
      <c r="L1239" s="227">
        <v>2000</v>
      </c>
      <c r="M1239" s="335">
        <f t="shared" si="908"/>
        <v>0.25</v>
      </c>
      <c r="N1239" s="329">
        <f t="shared" si="915"/>
        <v>400</v>
      </c>
    </row>
    <row r="1240" spans="1:14" s="8" customFormat="1" ht="14.1" customHeight="1">
      <c r="A1240" s="176"/>
      <c r="B1240" s="177"/>
      <c r="C1240" s="178" t="s">
        <v>411</v>
      </c>
      <c r="D1240" s="180">
        <v>700</v>
      </c>
      <c r="E1240" s="182">
        <v>700</v>
      </c>
      <c r="F1240" s="227">
        <v>700</v>
      </c>
      <c r="G1240" s="182"/>
      <c r="H1240" s="182">
        <f t="shared" si="928"/>
        <v>700</v>
      </c>
      <c r="I1240" s="182"/>
      <c r="J1240" s="182">
        <f t="shared" si="936"/>
        <v>700</v>
      </c>
      <c r="K1240" s="182">
        <v>671</v>
      </c>
      <c r="L1240" s="227">
        <v>800</v>
      </c>
      <c r="M1240" s="335">
        <f t="shared" si="908"/>
        <v>0.14285714285714285</v>
      </c>
      <c r="N1240" s="329">
        <f t="shared" si="915"/>
        <v>100</v>
      </c>
    </row>
    <row r="1241" spans="1:14" s="8" customFormat="1" ht="14.1" customHeight="1">
      <c r="A1241" s="176"/>
      <c r="B1241" s="177"/>
      <c r="C1241" s="178" t="s">
        <v>412</v>
      </c>
      <c r="D1241" s="180">
        <v>600</v>
      </c>
      <c r="E1241" s="182">
        <v>600</v>
      </c>
      <c r="F1241" s="227">
        <v>950</v>
      </c>
      <c r="G1241" s="182">
        <v>50</v>
      </c>
      <c r="H1241" s="182">
        <f t="shared" si="928"/>
        <v>1000</v>
      </c>
      <c r="I1241" s="182">
        <v>-107</v>
      </c>
      <c r="J1241" s="182">
        <f t="shared" si="936"/>
        <v>893</v>
      </c>
      <c r="K1241" s="182">
        <v>591</v>
      </c>
      <c r="L1241" s="227">
        <v>1000</v>
      </c>
      <c r="M1241" s="335">
        <f t="shared" si="908"/>
        <v>0.11982082866741321</v>
      </c>
      <c r="N1241" s="329">
        <f t="shared" si="915"/>
        <v>107</v>
      </c>
    </row>
    <row r="1242" spans="1:14" s="8" customFormat="1" ht="14.1" customHeight="1">
      <c r="A1242" s="176"/>
      <c r="B1242" s="177"/>
      <c r="C1242" s="178" t="s">
        <v>414</v>
      </c>
      <c r="D1242" s="180">
        <v>6600</v>
      </c>
      <c r="E1242" s="182">
        <v>1000</v>
      </c>
      <c r="F1242" s="227">
        <v>10000</v>
      </c>
      <c r="G1242" s="182"/>
      <c r="H1242" s="182">
        <f t="shared" si="928"/>
        <v>10000</v>
      </c>
      <c r="I1242" s="182"/>
      <c r="J1242" s="182">
        <f t="shared" si="936"/>
        <v>10000</v>
      </c>
      <c r="K1242" s="182">
        <v>759</v>
      </c>
      <c r="L1242" s="227">
        <f>8000+2000</f>
        <v>10000</v>
      </c>
      <c r="M1242" s="335">
        <f t="shared" si="908"/>
        <v>0</v>
      </c>
      <c r="N1242" s="329">
        <f t="shared" si="915"/>
        <v>0</v>
      </c>
    </row>
    <row r="1243" spans="1:14" s="8" customFormat="1" ht="14.1" customHeight="1">
      <c r="A1243" s="176"/>
      <c r="B1243" s="177"/>
      <c r="C1243" s="178" t="s">
        <v>415</v>
      </c>
      <c r="D1243" s="179">
        <v>500</v>
      </c>
      <c r="E1243" s="182">
        <v>500</v>
      </c>
      <c r="F1243" s="227">
        <v>114</v>
      </c>
      <c r="G1243" s="182"/>
      <c r="H1243" s="182">
        <f t="shared" si="928"/>
        <v>114</v>
      </c>
      <c r="I1243" s="182">
        <v>107</v>
      </c>
      <c r="J1243" s="182">
        <f t="shared" si="936"/>
        <v>221</v>
      </c>
      <c r="K1243" s="182">
        <v>221</v>
      </c>
      <c r="L1243" s="227">
        <v>250</v>
      </c>
      <c r="M1243" s="335">
        <f t="shared" si="908"/>
        <v>0.13122171945701358</v>
      </c>
      <c r="N1243" s="329">
        <f t="shared" si="915"/>
        <v>29</v>
      </c>
    </row>
    <row r="1244" spans="1:14" s="8" customFormat="1" ht="14.1" customHeight="1">
      <c r="A1244" s="176"/>
      <c r="B1244" s="177"/>
      <c r="C1244" s="178" t="s">
        <v>413</v>
      </c>
      <c r="D1244" s="179">
        <v>0</v>
      </c>
      <c r="E1244" s="182">
        <v>0</v>
      </c>
      <c r="F1244" s="227">
        <v>0</v>
      </c>
      <c r="G1244" s="182"/>
      <c r="H1244" s="182">
        <f t="shared" si="928"/>
        <v>0</v>
      </c>
      <c r="I1244" s="182"/>
      <c r="J1244" s="182">
        <f t="shared" si="936"/>
        <v>0</v>
      </c>
      <c r="K1244" s="182"/>
      <c r="L1244" s="227"/>
      <c r="M1244" s="335" t="e">
        <f t="shared" si="908"/>
        <v>#DIV/0!</v>
      </c>
      <c r="N1244" s="329">
        <f t="shared" si="915"/>
        <v>0</v>
      </c>
    </row>
    <row r="1245" spans="1:14" s="8" customFormat="1" ht="14.1" customHeight="1">
      <c r="A1245" s="176"/>
      <c r="B1245" s="177"/>
      <c r="C1245" s="178" t="s">
        <v>416</v>
      </c>
      <c r="D1245" s="183">
        <v>0</v>
      </c>
      <c r="E1245" s="182">
        <v>0</v>
      </c>
      <c r="F1245" s="227">
        <v>0</v>
      </c>
      <c r="G1245" s="182"/>
      <c r="H1245" s="182">
        <f t="shared" si="928"/>
        <v>0</v>
      </c>
      <c r="I1245" s="182"/>
      <c r="J1245" s="182">
        <f t="shared" si="936"/>
        <v>0</v>
      </c>
      <c r="K1245" s="182"/>
      <c r="L1245" s="227"/>
      <c r="M1245" s="335" t="e">
        <f t="shared" si="908"/>
        <v>#DIV/0!</v>
      </c>
      <c r="N1245" s="329">
        <f t="shared" si="915"/>
        <v>0</v>
      </c>
    </row>
    <row r="1246" spans="1:14" s="8" customFormat="1" ht="14.1" customHeight="1">
      <c r="A1246" s="176"/>
      <c r="B1246" s="177"/>
      <c r="C1246" s="178" t="s">
        <v>445</v>
      </c>
      <c r="D1246" s="183"/>
      <c r="E1246" s="182"/>
      <c r="F1246" s="227"/>
      <c r="G1246" s="243">
        <v>2251</v>
      </c>
      <c r="H1246" s="182">
        <f t="shared" si="928"/>
        <v>2251</v>
      </c>
      <c r="I1246" s="182"/>
      <c r="J1246" s="182">
        <f t="shared" si="936"/>
        <v>2251</v>
      </c>
      <c r="K1246" s="182">
        <v>2048</v>
      </c>
      <c r="L1246" s="227">
        <v>2500</v>
      </c>
      <c r="M1246" s="335">
        <f t="shared" si="908"/>
        <v>0.11061750333185251</v>
      </c>
      <c r="N1246" s="329">
        <f t="shared" si="915"/>
        <v>249</v>
      </c>
    </row>
    <row r="1247" spans="1:14" ht="14.1" customHeight="1">
      <c r="A1247" s="32"/>
      <c r="B1247" s="33">
        <v>5513</v>
      </c>
      <c r="C1247" s="34" t="s">
        <v>525</v>
      </c>
      <c r="D1247" s="52">
        <v>2100</v>
      </c>
      <c r="E1247" s="17">
        <v>15580</v>
      </c>
      <c r="F1247" s="226">
        <v>12580</v>
      </c>
      <c r="G1247" s="17">
        <v>420</v>
      </c>
      <c r="H1247" s="17">
        <f t="shared" si="928"/>
        <v>13000</v>
      </c>
      <c r="I1247" s="17"/>
      <c r="J1247" s="17">
        <f t="shared" si="936"/>
        <v>13000</v>
      </c>
      <c r="K1247" s="17">
        <v>9475</v>
      </c>
      <c r="L1247" s="226">
        <f>13700+4000</f>
        <v>17700</v>
      </c>
      <c r="M1247" s="335">
        <f t="shared" si="908"/>
        <v>0.36153846153846153</v>
      </c>
      <c r="N1247" s="329">
        <f t="shared" si="915"/>
        <v>4700</v>
      </c>
    </row>
    <row r="1248" spans="1:14" ht="14.1" customHeight="1">
      <c r="A1248" s="32"/>
      <c r="B1248" s="33">
        <v>5514</v>
      </c>
      <c r="C1248" s="34" t="s">
        <v>221</v>
      </c>
      <c r="D1248" s="52">
        <v>3200</v>
      </c>
      <c r="E1248" s="17">
        <v>15000</v>
      </c>
      <c r="F1248" s="226">
        <v>5000</v>
      </c>
      <c r="G1248" s="17"/>
      <c r="H1248" s="17">
        <f t="shared" si="928"/>
        <v>5000</v>
      </c>
      <c r="I1248" s="255">
        <v>13000</v>
      </c>
      <c r="J1248" s="17">
        <f t="shared" si="936"/>
        <v>18000</v>
      </c>
      <c r="K1248" s="17">
        <v>14703</v>
      </c>
      <c r="L1248" s="225">
        <v>19000</v>
      </c>
      <c r="M1248" s="335">
        <f t="shared" si="908"/>
        <v>5.5555555555555552E-2</v>
      </c>
      <c r="N1248" s="329">
        <f t="shared" si="915"/>
        <v>1000</v>
      </c>
    </row>
    <row r="1249" spans="1:14" ht="14.1" customHeight="1">
      <c r="A1249" s="32"/>
      <c r="B1249" s="33">
        <v>5515</v>
      </c>
      <c r="C1249" s="34" t="s">
        <v>257</v>
      </c>
      <c r="D1249" s="52">
        <v>5171</v>
      </c>
      <c r="E1249" s="17">
        <v>100</v>
      </c>
      <c r="F1249" s="226">
        <v>7000</v>
      </c>
      <c r="G1249" s="17"/>
      <c r="H1249" s="17">
        <f t="shared" si="928"/>
        <v>7000</v>
      </c>
      <c r="I1249" s="17">
        <v>-1000</v>
      </c>
      <c r="J1249" s="17">
        <f t="shared" si="936"/>
        <v>6000</v>
      </c>
      <c r="K1249" s="17">
        <v>11110</v>
      </c>
      <c r="L1249" s="226">
        <v>6000</v>
      </c>
      <c r="M1249" s="335">
        <f t="shared" si="908"/>
        <v>0</v>
      </c>
      <c r="N1249" s="329">
        <f t="shared" si="915"/>
        <v>0</v>
      </c>
    </row>
    <row r="1250" spans="1:14" ht="14.1" customHeight="1">
      <c r="A1250" s="32"/>
      <c r="B1250" s="33">
        <v>5516</v>
      </c>
      <c r="C1250" s="34" t="s">
        <v>602</v>
      </c>
      <c r="D1250" s="52"/>
      <c r="E1250" s="17">
        <v>0</v>
      </c>
      <c r="F1250" s="226">
        <v>2000</v>
      </c>
      <c r="G1250" s="17"/>
      <c r="H1250" s="17">
        <f t="shared" si="928"/>
        <v>2000</v>
      </c>
      <c r="I1250" s="17">
        <v>-1251</v>
      </c>
      <c r="J1250" s="17">
        <f t="shared" si="936"/>
        <v>749</v>
      </c>
      <c r="K1250" s="17">
        <v>88.64</v>
      </c>
      <c r="L1250" s="226">
        <v>1000</v>
      </c>
      <c r="M1250" s="335">
        <f t="shared" si="908"/>
        <v>0.33511348464619495</v>
      </c>
      <c r="N1250" s="329">
        <f t="shared" si="915"/>
        <v>251</v>
      </c>
    </row>
    <row r="1251" spans="1:14" ht="14.1" customHeight="1">
      <c r="A1251" s="32"/>
      <c r="B1251" s="33">
        <v>5522</v>
      </c>
      <c r="C1251" s="34" t="s">
        <v>262</v>
      </c>
      <c r="D1251" s="52">
        <v>500</v>
      </c>
      <c r="E1251" s="17">
        <v>250</v>
      </c>
      <c r="F1251" s="226">
        <v>900</v>
      </c>
      <c r="G1251" s="17"/>
      <c r="H1251" s="17">
        <f t="shared" si="928"/>
        <v>900</v>
      </c>
      <c r="I1251" s="17">
        <v>-400</v>
      </c>
      <c r="J1251" s="17">
        <f t="shared" si="936"/>
        <v>500</v>
      </c>
      <c r="K1251" s="17">
        <v>11</v>
      </c>
      <c r="L1251" s="226">
        <v>500</v>
      </c>
      <c r="M1251" s="335">
        <f t="shared" si="908"/>
        <v>0</v>
      </c>
      <c r="N1251" s="329">
        <f t="shared" si="915"/>
        <v>0</v>
      </c>
    </row>
    <row r="1252" spans="1:14" ht="13.5" customHeight="1">
      <c r="A1252" s="32"/>
      <c r="B1252" s="33">
        <v>5523</v>
      </c>
      <c r="C1252" s="34" t="s">
        <v>618</v>
      </c>
      <c r="D1252" s="52">
        <v>500</v>
      </c>
      <c r="E1252" s="17">
        <v>500</v>
      </c>
      <c r="F1252" s="226">
        <v>500</v>
      </c>
      <c r="G1252" s="17"/>
      <c r="H1252" s="17">
        <f t="shared" si="928"/>
        <v>500</v>
      </c>
      <c r="I1252" s="17">
        <v>-400</v>
      </c>
      <c r="J1252" s="17">
        <f t="shared" si="936"/>
        <v>100</v>
      </c>
      <c r="K1252" s="17">
        <v>9</v>
      </c>
      <c r="L1252" s="226">
        <v>0</v>
      </c>
      <c r="M1252" s="335">
        <f t="shared" si="908"/>
        <v>-1</v>
      </c>
      <c r="N1252" s="329">
        <f t="shared" si="915"/>
        <v>-100</v>
      </c>
    </row>
    <row r="1253" spans="1:14" ht="13.5" customHeight="1">
      <c r="A1253" s="32"/>
      <c r="B1253" s="33">
        <v>5524</v>
      </c>
      <c r="C1253" s="34" t="s">
        <v>577</v>
      </c>
      <c r="D1253" s="52">
        <v>5382</v>
      </c>
      <c r="E1253" s="17">
        <v>3500</v>
      </c>
      <c r="F1253" s="226">
        <v>3900</v>
      </c>
      <c r="G1253" s="17"/>
      <c r="H1253" s="17">
        <f t="shared" si="928"/>
        <v>3900</v>
      </c>
      <c r="I1253" s="17"/>
      <c r="J1253" s="17">
        <f t="shared" si="936"/>
        <v>3900</v>
      </c>
      <c r="K1253" s="17">
        <v>2983</v>
      </c>
      <c r="L1253" s="226">
        <v>4500</v>
      </c>
      <c r="M1253" s="335">
        <f t="shared" si="908"/>
        <v>0.15384615384615385</v>
      </c>
      <c r="N1253" s="329">
        <f t="shared" si="915"/>
        <v>600</v>
      </c>
    </row>
    <row r="1254" spans="1:14" ht="13.5" customHeight="1">
      <c r="A1254" s="32"/>
      <c r="B1254" s="33">
        <v>5525</v>
      </c>
      <c r="C1254" s="34" t="s">
        <v>510</v>
      </c>
      <c r="D1254" s="52">
        <v>2000</v>
      </c>
      <c r="E1254" s="17">
        <v>2700</v>
      </c>
      <c r="F1254" s="226">
        <v>3000</v>
      </c>
      <c r="G1254" s="256">
        <v>1949</v>
      </c>
      <c r="H1254" s="17">
        <f t="shared" si="928"/>
        <v>4949</v>
      </c>
      <c r="I1254" s="17">
        <v>-949</v>
      </c>
      <c r="J1254" s="17">
        <f t="shared" si="936"/>
        <v>4000</v>
      </c>
      <c r="K1254" s="17">
        <v>4444</v>
      </c>
      <c r="L1254" s="226">
        <v>4600</v>
      </c>
      <c r="M1254" s="335">
        <f t="shared" si="908"/>
        <v>0.15</v>
      </c>
      <c r="N1254" s="329">
        <f t="shared" si="915"/>
        <v>600</v>
      </c>
    </row>
    <row r="1255" spans="1:14" ht="13.5" customHeight="1">
      <c r="A1255" s="32"/>
      <c r="B1255" s="33">
        <v>5540</v>
      </c>
      <c r="C1255" s="34" t="s">
        <v>457</v>
      </c>
      <c r="D1255" s="52">
        <v>1500</v>
      </c>
      <c r="E1255" s="17">
        <v>1500</v>
      </c>
      <c r="F1255" s="226">
        <v>1500</v>
      </c>
      <c r="G1255" s="17"/>
      <c r="H1255" s="17">
        <f t="shared" si="928"/>
        <v>1500</v>
      </c>
      <c r="I1255" s="17"/>
      <c r="J1255" s="17">
        <f t="shared" si="936"/>
        <v>1500</v>
      </c>
      <c r="K1255" s="17">
        <v>624</v>
      </c>
      <c r="L1255" s="226">
        <v>1700</v>
      </c>
      <c r="M1255" s="335">
        <f t="shared" si="908"/>
        <v>0.13333333333333333</v>
      </c>
      <c r="N1255" s="329">
        <f t="shared" si="915"/>
        <v>200</v>
      </c>
    </row>
    <row r="1256" spans="1:14" ht="14.1" customHeight="1">
      <c r="A1256" s="45" t="s">
        <v>619</v>
      </c>
      <c r="B1256" s="46"/>
      <c r="C1256" s="47" t="s">
        <v>620</v>
      </c>
      <c r="D1256" s="53">
        <v>224532</v>
      </c>
      <c r="E1256" s="50">
        <v>222472</v>
      </c>
      <c r="F1256" s="50">
        <f t="shared" ref="F1256" si="937">+F1257+F1258</f>
        <v>296200</v>
      </c>
      <c r="G1256" s="50">
        <f t="shared" ref="G1256:H1256" si="938">+G1257+G1258</f>
        <v>22135</v>
      </c>
      <c r="H1256" s="50">
        <f t="shared" si="938"/>
        <v>318335</v>
      </c>
      <c r="I1256" s="50">
        <f t="shared" ref="I1256:J1256" si="939">+I1257+I1258</f>
        <v>0</v>
      </c>
      <c r="J1256" s="50">
        <f t="shared" si="939"/>
        <v>318335</v>
      </c>
      <c r="K1256" s="50">
        <f t="shared" ref="K1256:L1256" si="940">+K1257+K1258</f>
        <v>201434</v>
      </c>
      <c r="L1256" s="50">
        <f t="shared" si="940"/>
        <v>345000</v>
      </c>
      <c r="M1256" s="335">
        <f t="shared" si="908"/>
        <v>8.376395935099816E-2</v>
      </c>
      <c r="N1256" s="329">
        <f t="shared" si="915"/>
        <v>26665</v>
      </c>
    </row>
    <row r="1257" spans="1:14" ht="14.1" customHeight="1">
      <c r="A1257" s="32"/>
      <c r="B1257" s="38" t="s">
        <v>210</v>
      </c>
      <c r="C1257" s="39" t="s">
        <v>211</v>
      </c>
      <c r="D1257" s="51">
        <v>221131</v>
      </c>
      <c r="E1257" s="143">
        <v>218689</v>
      </c>
      <c r="F1257" s="226">
        <v>292229</v>
      </c>
      <c r="G1257" s="256">
        <v>21581</v>
      </c>
      <c r="H1257" s="143">
        <f t="shared" ref="H1257:H1261" si="941">+G1257+F1257</f>
        <v>313810</v>
      </c>
      <c r="I1257" s="143"/>
      <c r="J1257" s="143">
        <f t="shared" ref="J1257" si="942">+I1257+H1257</f>
        <v>313810</v>
      </c>
      <c r="K1257" s="143">
        <v>193812</v>
      </c>
      <c r="L1257" s="225">
        <v>340500</v>
      </c>
      <c r="M1257" s="335">
        <f t="shared" si="908"/>
        <v>8.505146426181448E-2</v>
      </c>
      <c r="N1257" s="329">
        <f t="shared" si="915"/>
        <v>26690</v>
      </c>
    </row>
    <row r="1258" spans="1:14" ht="14.1" customHeight="1">
      <c r="A1258" s="32"/>
      <c r="B1258" s="38" t="s">
        <v>212</v>
      </c>
      <c r="C1258" s="39" t="s">
        <v>213</v>
      </c>
      <c r="D1258" s="51">
        <v>3401</v>
      </c>
      <c r="E1258" s="137">
        <v>3783</v>
      </c>
      <c r="F1258" s="137">
        <f t="shared" ref="F1258" si="943">+F1259+F1260+F1261</f>
        <v>3971</v>
      </c>
      <c r="G1258" s="256">
        <f t="shared" ref="G1258:H1258" si="944">+G1259+G1260+G1261</f>
        <v>554</v>
      </c>
      <c r="H1258" s="137">
        <f t="shared" si="944"/>
        <v>4525</v>
      </c>
      <c r="I1258" s="137">
        <f t="shared" ref="I1258:J1258" si="945">+I1259+I1260+I1261</f>
        <v>0</v>
      </c>
      <c r="J1258" s="137">
        <f t="shared" si="945"/>
        <v>4525</v>
      </c>
      <c r="K1258" s="137">
        <f t="shared" ref="K1258:L1258" si="946">+K1259+K1260+K1261</f>
        <v>7622</v>
      </c>
      <c r="L1258" s="137">
        <f t="shared" si="946"/>
        <v>4500</v>
      </c>
      <c r="M1258" s="335">
        <f t="shared" si="908"/>
        <v>-5.5248618784530384E-3</v>
      </c>
      <c r="N1258" s="329">
        <f t="shared" si="915"/>
        <v>-25</v>
      </c>
    </row>
    <row r="1259" spans="1:14" ht="14.1" customHeight="1">
      <c r="A1259" s="32"/>
      <c r="B1259" s="33">
        <v>5504</v>
      </c>
      <c r="C1259" s="34" t="s">
        <v>230</v>
      </c>
      <c r="D1259" s="52">
        <v>545</v>
      </c>
      <c r="E1259" s="17">
        <v>854</v>
      </c>
      <c r="F1259" s="226">
        <v>576</v>
      </c>
      <c r="G1259" s="17"/>
      <c r="H1259" s="17">
        <f t="shared" si="941"/>
        <v>576</v>
      </c>
      <c r="I1259" s="17"/>
      <c r="J1259" s="17">
        <f t="shared" ref="J1259:J1261" si="947">+I1259+H1259</f>
        <v>576</v>
      </c>
      <c r="K1259" s="17">
        <v>525</v>
      </c>
      <c r="L1259" s="226">
        <v>581</v>
      </c>
      <c r="M1259" s="335">
        <f t="shared" si="908"/>
        <v>8.6805555555555559E-3</v>
      </c>
      <c r="N1259" s="329">
        <f t="shared" si="915"/>
        <v>5</v>
      </c>
    </row>
    <row r="1260" spans="1:14" ht="14.1" customHeight="1">
      <c r="A1260" s="32"/>
      <c r="B1260" s="33">
        <v>5524</v>
      </c>
      <c r="C1260" s="34" t="s">
        <v>621</v>
      </c>
      <c r="D1260" s="52">
        <v>2856</v>
      </c>
      <c r="E1260" s="17">
        <v>2577</v>
      </c>
      <c r="F1260" s="226">
        <v>2736</v>
      </c>
      <c r="G1260" s="17">
        <v>554</v>
      </c>
      <c r="H1260" s="17">
        <f t="shared" si="941"/>
        <v>3290</v>
      </c>
      <c r="I1260" s="17"/>
      <c r="J1260" s="17">
        <f t="shared" si="947"/>
        <v>3290</v>
      </c>
      <c r="K1260" s="17">
        <v>6681</v>
      </c>
      <c r="L1260" s="226">
        <v>3260</v>
      </c>
      <c r="M1260" s="335">
        <f t="shared" si="908"/>
        <v>-9.11854103343465E-3</v>
      </c>
      <c r="N1260" s="329">
        <f t="shared" si="915"/>
        <v>-30</v>
      </c>
    </row>
    <row r="1261" spans="1:14" ht="14.1" customHeight="1">
      <c r="A1261" s="32"/>
      <c r="B1261" s="33">
        <v>5525</v>
      </c>
      <c r="C1261" s="34" t="s">
        <v>613</v>
      </c>
      <c r="D1261" s="52"/>
      <c r="E1261" s="17">
        <v>352</v>
      </c>
      <c r="F1261" s="226">
        <v>659</v>
      </c>
      <c r="G1261" s="17"/>
      <c r="H1261" s="17">
        <f t="shared" si="941"/>
        <v>659</v>
      </c>
      <c r="I1261" s="17"/>
      <c r="J1261" s="17">
        <f t="shared" si="947"/>
        <v>659</v>
      </c>
      <c r="K1261" s="17">
        <v>416</v>
      </c>
      <c r="L1261" s="226">
        <v>659</v>
      </c>
      <c r="M1261" s="335">
        <f t="shared" si="908"/>
        <v>0</v>
      </c>
      <c r="N1261" s="329">
        <f t="shared" si="915"/>
        <v>0</v>
      </c>
    </row>
    <row r="1262" spans="1:14" ht="14.1" customHeight="1">
      <c r="A1262" s="56" t="s">
        <v>622</v>
      </c>
      <c r="B1262" s="46"/>
      <c r="C1262" s="47" t="s">
        <v>623</v>
      </c>
      <c r="D1262" s="53">
        <v>34100</v>
      </c>
      <c r="E1262" s="50">
        <v>33918</v>
      </c>
      <c r="F1262" s="50">
        <f t="shared" ref="F1262:L1262" si="948">+F1263</f>
        <v>46598</v>
      </c>
      <c r="G1262" s="50">
        <f t="shared" si="948"/>
        <v>0</v>
      </c>
      <c r="H1262" s="50">
        <f t="shared" si="948"/>
        <v>46598</v>
      </c>
      <c r="I1262" s="50">
        <f t="shared" si="948"/>
        <v>0</v>
      </c>
      <c r="J1262" s="50">
        <f t="shared" si="948"/>
        <v>46598</v>
      </c>
      <c r="K1262" s="50">
        <f t="shared" si="948"/>
        <v>34845</v>
      </c>
      <c r="L1262" s="50">
        <f t="shared" si="948"/>
        <v>47200</v>
      </c>
      <c r="M1262" s="335">
        <f t="shared" si="908"/>
        <v>1.2919009399545045E-2</v>
      </c>
      <c r="N1262" s="329">
        <f t="shared" si="915"/>
        <v>602</v>
      </c>
    </row>
    <row r="1263" spans="1:14" ht="14.1" customHeight="1">
      <c r="A1263" s="32"/>
      <c r="B1263" s="38" t="s">
        <v>210</v>
      </c>
      <c r="C1263" s="39" t="s">
        <v>211</v>
      </c>
      <c r="D1263" s="52">
        <v>34100</v>
      </c>
      <c r="E1263" s="143">
        <v>33918</v>
      </c>
      <c r="F1263" s="226">
        <v>46598</v>
      </c>
      <c r="G1263" s="143"/>
      <c r="H1263" s="143">
        <f t="shared" ref="H1263" si="949">+G1263+F1263</f>
        <v>46598</v>
      </c>
      <c r="I1263" s="143"/>
      <c r="J1263" s="143">
        <f t="shared" ref="J1263" si="950">+I1263+H1263</f>
        <v>46598</v>
      </c>
      <c r="K1263" s="143">
        <v>34845</v>
      </c>
      <c r="L1263" s="225">
        <v>47200</v>
      </c>
      <c r="M1263" s="335">
        <f t="shared" si="908"/>
        <v>1.2919009399545045E-2</v>
      </c>
      <c r="N1263" s="329">
        <f t="shared" si="915"/>
        <v>602</v>
      </c>
    </row>
    <row r="1264" spans="1:14" ht="14.1" customHeight="1">
      <c r="A1264" s="45" t="s">
        <v>624</v>
      </c>
      <c r="B1264" s="46"/>
      <c r="C1264" s="63" t="s">
        <v>625</v>
      </c>
      <c r="D1264" s="53">
        <v>373000</v>
      </c>
      <c r="E1264" s="54">
        <v>410000</v>
      </c>
      <c r="F1264" s="54">
        <f t="shared" ref="F1264" si="951">+F1265</f>
        <v>410000</v>
      </c>
      <c r="G1264" s="54">
        <f>+G1265</f>
        <v>0</v>
      </c>
      <c r="H1264" s="54">
        <f>+H1265</f>
        <v>410000</v>
      </c>
      <c r="I1264" s="54">
        <f>+I1265</f>
        <v>80000</v>
      </c>
      <c r="J1264" s="54">
        <f>+J1265</f>
        <v>490000</v>
      </c>
      <c r="K1264" s="54">
        <f>+K1265</f>
        <v>401755</v>
      </c>
      <c r="L1264" s="54">
        <f t="shared" ref="L1264" si="952">+L1265</f>
        <v>600000</v>
      </c>
      <c r="M1264" s="335">
        <f t="shared" ref="M1264:M1328" si="953">(L1264-J1264)/J1264</f>
        <v>0.22448979591836735</v>
      </c>
      <c r="N1264" s="329">
        <f t="shared" si="915"/>
        <v>110000</v>
      </c>
    </row>
    <row r="1265" spans="1:14" ht="14.1" customHeight="1">
      <c r="A1265" s="32"/>
      <c r="B1265" s="33">
        <v>5524</v>
      </c>
      <c r="C1265" s="34" t="s">
        <v>213</v>
      </c>
      <c r="D1265" s="52">
        <v>373000</v>
      </c>
      <c r="E1265" s="137">
        <v>410000</v>
      </c>
      <c r="F1265" s="226">
        <v>410000</v>
      </c>
      <c r="G1265" s="137"/>
      <c r="H1265" s="137">
        <f>+F1265+G1265</f>
        <v>410000</v>
      </c>
      <c r="I1265" s="321">
        <v>80000</v>
      </c>
      <c r="J1265" s="137">
        <f>+H1265+I1265</f>
        <v>490000</v>
      </c>
      <c r="K1265" s="137">
        <v>401755</v>
      </c>
      <c r="L1265" s="226">
        <v>600000</v>
      </c>
      <c r="M1265" s="335">
        <f t="shared" si="953"/>
        <v>0.22448979591836735</v>
      </c>
      <c r="N1265" s="329">
        <f t="shared" si="915"/>
        <v>110000</v>
      </c>
    </row>
    <row r="1266" spans="1:14" ht="14.1" customHeight="1">
      <c r="A1266" s="45" t="s">
        <v>626</v>
      </c>
      <c r="B1266" s="46"/>
      <c r="C1266" s="47" t="s">
        <v>627</v>
      </c>
      <c r="D1266" s="53">
        <v>254714</v>
      </c>
      <c r="E1266" s="50">
        <v>280424</v>
      </c>
      <c r="F1266" s="50">
        <f t="shared" ref="F1266" si="954">+F1267+F1268</f>
        <v>327921</v>
      </c>
      <c r="G1266" s="50">
        <f t="shared" ref="G1266:H1266" si="955">+G1267+G1268</f>
        <v>18346</v>
      </c>
      <c r="H1266" s="50">
        <f t="shared" si="955"/>
        <v>346267</v>
      </c>
      <c r="I1266" s="50">
        <f t="shared" ref="I1266:J1266" si="956">+I1267+I1268</f>
        <v>-2724</v>
      </c>
      <c r="J1266" s="50">
        <f t="shared" si="956"/>
        <v>343543</v>
      </c>
      <c r="K1266" s="50">
        <f t="shared" ref="K1266:L1266" si="957">+K1267+K1268</f>
        <v>243118</v>
      </c>
      <c r="L1266" s="50">
        <f t="shared" si="957"/>
        <v>320800</v>
      </c>
      <c r="M1266" s="335">
        <f t="shared" si="953"/>
        <v>-6.6201319776563627E-2</v>
      </c>
      <c r="N1266" s="329">
        <f t="shared" si="915"/>
        <v>-22743</v>
      </c>
    </row>
    <row r="1267" spans="1:14" ht="14.1" customHeight="1">
      <c r="A1267" s="32"/>
      <c r="B1267" s="33" t="s">
        <v>210</v>
      </c>
      <c r="C1267" s="39" t="s">
        <v>211</v>
      </c>
      <c r="D1267" s="51">
        <v>123077</v>
      </c>
      <c r="E1267" s="143">
        <v>140493</v>
      </c>
      <c r="F1267" s="226">
        <v>165212</v>
      </c>
      <c r="G1267" s="194">
        <f>5520+2950</f>
        <v>8470</v>
      </c>
      <c r="H1267" s="143">
        <f t="shared" ref="H1267:H1271" si="958">+G1267+F1267</f>
        <v>173682</v>
      </c>
      <c r="I1267" s="321">
        <v>-20000</v>
      </c>
      <c r="J1267" s="143">
        <f t="shared" ref="J1267" si="959">+I1267+H1267</f>
        <v>153682</v>
      </c>
      <c r="K1267" s="143">
        <v>106465</v>
      </c>
      <c r="L1267" s="225">
        <v>145800</v>
      </c>
      <c r="M1267" s="335">
        <f t="shared" si="953"/>
        <v>-5.1287724001509612E-2</v>
      </c>
      <c r="N1267" s="329">
        <f t="shared" si="915"/>
        <v>-7882</v>
      </c>
    </row>
    <row r="1268" spans="1:14" ht="14.1" customHeight="1">
      <c r="A1268" s="32"/>
      <c r="B1268" s="33" t="s">
        <v>212</v>
      </c>
      <c r="C1268" s="39" t="s">
        <v>213</v>
      </c>
      <c r="D1268" s="51">
        <v>131637</v>
      </c>
      <c r="E1268" s="137">
        <v>139931</v>
      </c>
      <c r="F1268" s="137">
        <f>+F1269+F1270+F1271+F1272+F1283+F1284+F1285+F1286+F1288+F1289+F1290+F1291+F1292</f>
        <v>162709</v>
      </c>
      <c r="G1268" s="137">
        <f t="shared" ref="G1268:H1268" si="960">+G1269+G1270+G1271+G1272+G1283+G1284+G1285+G1286+G1288+G1289+G1290+G1291+G1292</f>
        <v>9876</v>
      </c>
      <c r="H1268" s="137">
        <f t="shared" si="960"/>
        <v>172585</v>
      </c>
      <c r="I1268" s="137">
        <f t="shared" ref="I1268:J1268" si="961">+I1269+I1270+I1271+I1272+I1283+I1284+I1285+I1286+I1288+I1289+I1290+I1291+I1292</f>
        <v>17276</v>
      </c>
      <c r="J1268" s="137">
        <f t="shared" si="961"/>
        <v>189861</v>
      </c>
      <c r="K1268" s="137">
        <f>+K1269+K1270+K1271+K1272+K1283+K1284+K1285+K1286+K1288+K1289+K1290+K1291+K1292+K1287</f>
        <v>136653</v>
      </c>
      <c r="L1268" s="137">
        <f>+L1269+L1270+L1271+L1272+L1283+L1284+L1285+L1286+L1288+L1289+L1290+L1291+L1292</f>
        <v>175000</v>
      </c>
      <c r="M1268" s="335">
        <f t="shared" si="953"/>
        <v>-7.8273052390959705E-2</v>
      </c>
      <c r="N1268" s="329">
        <f t="shared" si="915"/>
        <v>-14861</v>
      </c>
    </row>
    <row r="1269" spans="1:14" ht="14.1" customHeight="1">
      <c r="A1269" s="32"/>
      <c r="B1269" s="33">
        <v>5500</v>
      </c>
      <c r="C1269" s="34" t="s">
        <v>429</v>
      </c>
      <c r="D1269" s="52">
        <v>4400</v>
      </c>
      <c r="E1269" s="17">
        <v>4700</v>
      </c>
      <c r="F1269" s="224">
        <v>8300</v>
      </c>
      <c r="G1269" s="17"/>
      <c r="H1269" s="17">
        <f t="shared" si="958"/>
        <v>8300</v>
      </c>
      <c r="I1269" s="17"/>
      <c r="J1269" s="17">
        <f t="shared" ref="J1269:J1271" si="962">+I1269+H1269</f>
        <v>8300</v>
      </c>
      <c r="K1269" s="17">
        <v>5627</v>
      </c>
      <c r="L1269" s="226">
        <v>6000</v>
      </c>
      <c r="M1269" s="335">
        <f t="shared" si="953"/>
        <v>-0.27710843373493976</v>
      </c>
      <c r="N1269" s="329">
        <f t="shared" si="915"/>
        <v>-2300</v>
      </c>
    </row>
    <row r="1270" spans="1:14" ht="14.1" customHeight="1">
      <c r="A1270" s="32"/>
      <c r="B1270" s="33">
        <v>5503</v>
      </c>
      <c r="C1270" s="34" t="s">
        <v>216</v>
      </c>
      <c r="D1270" s="52">
        <v>700</v>
      </c>
      <c r="E1270" s="17">
        <v>300</v>
      </c>
      <c r="F1270" s="224">
        <v>500</v>
      </c>
      <c r="G1270" s="17"/>
      <c r="H1270" s="17">
        <f t="shared" si="958"/>
        <v>500</v>
      </c>
      <c r="I1270" s="17"/>
      <c r="J1270" s="17">
        <f t="shared" si="962"/>
        <v>500</v>
      </c>
      <c r="K1270" s="17">
        <v>200</v>
      </c>
      <c r="L1270" s="226"/>
      <c r="M1270" s="335">
        <f t="shared" si="953"/>
        <v>-1</v>
      </c>
      <c r="N1270" s="329">
        <f t="shared" si="915"/>
        <v>-500</v>
      </c>
    </row>
    <row r="1271" spans="1:14" ht="14.1" customHeight="1">
      <c r="A1271" s="32"/>
      <c r="B1271" s="33">
        <v>5504</v>
      </c>
      <c r="C1271" s="34" t="s">
        <v>403</v>
      </c>
      <c r="D1271" s="52">
        <v>1500</v>
      </c>
      <c r="E1271" s="17">
        <v>4000</v>
      </c>
      <c r="F1271" s="224">
        <v>4000</v>
      </c>
      <c r="G1271" s="17"/>
      <c r="H1271" s="17">
        <f t="shared" si="958"/>
        <v>4000</v>
      </c>
      <c r="I1271" s="17"/>
      <c r="J1271" s="17">
        <f t="shared" si="962"/>
        <v>4000</v>
      </c>
      <c r="K1271" s="17">
        <v>1525</v>
      </c>
      <c r="L1271" s="226">
        <v>4500</v>
      </c>
      <c r="M1271" s="335">
        <f t="shared" si="953"/>
        <v>0.125</v>
      </c>
      <c r="N1271" s="329">
        <f t="shared" si="915"/>
        <v>500</v>
      </c>
    </row>
    <row r="1272" spans="1:14" ht="14.1" customHeight="1">
      <c r="A1272" s="32"/>
      <c r="B1272" s="33">
        <v>5511</v>
      </c>
      <c r="C1272" s="34" t="s">
        <v>628</v>
      </c>
      <c r="D1272" s="52">
        <v>59800</v>
      </c>
      <c r="E1272" s="95">
        <v>67212</v>
      </c>
      <c r="F1272" s="224">
        <f t="shared" ref="F1272" si="963">SUM(F1273:F1281)</f>
        <v>88516</v>
      </c>
      <c r="G1272" s="17">
        <f>SUM(G1273:G1282)</f>
        <v>4370</v>
      </c>
      <c r="H1272" s="17">
        <f>SUM(H1273:H1282)</f>
        <v>92886</v>
      </c>
      <c r="I1272" s="17">
        <f>SUM(I1273:I1282)</f>
        <v>8339</v>
      </c>
      <c r="J1272" s="17">
        <f>SUM(J1273:J1282)</f>
        <v>101225</v>
      </c>
      <c r="K1272" s="17">
        <f t="shared" ref="K1272" si="964">SUM(K1273:K1282)</f>
        <v>74414</v>
      </c>
      <c r="L1272" s="17">
        <f>SUM(L1273:L1282)</f>
        <v>92600</v>
      </c>
      <c r="M1272" s="335">
        <f t="shared" si="953"/>
        <v>-8.5206223758952829E-2</v>
      </c>
      <c r="N1272" s="329">
        <f t="shared" si="915"/>
        <v>-8625</v>
      </c>
    </row>
    <row r="1273" spans="1:14" s="142" customFormat="1" ht="14.1" customHeight="1">
      <c r="A1273" s="144"/>
      <c r="B1273" s="145"/>
      <c r="C1273" s="146" t="s">
        <v>407</v>
      </c>
      <c r="D1273" s="151">
        <v>35000</v>
      </c>
      <c r="E1273" s="147">
        <v>30000</v>
      </c>
      <c r="F1273" s="230">
        <v>40000</v>
      </c>
      <c r="G1273" s="147"/>
      <c r="H1273" s="147">
        <f t="shared" ref="H1273:H1292" si="965">+G1273+F1273</f>
        <v>40000</v>
      </c>
      <c r="I1273" s="147"/>
      <c r="J1273" s="147">
        <f t="shared" ref="J1273:J1292" si="966">+I1273+H1273</f>
        <v>40000</v>
      </c>
      <c r="K1273" s="147">
        <v>26981</v>
      </c>
      <c r="L1273" s="229">
        <v>40000</v>
      </c>
      <c r="M1273" s="335">
        <f t="shared" si="953"/>
        <v>0</v>
      </c>
      <c r="N1273" s="329">
        <f t="shared" si="915"/>
        <v>0</v>
      </c>
    </row>
    <row r="1274" spans="1:14" s="142" customFormat="1" ht="14.1" customHeight="1">
      <c r="A1274" s="144"/>
      <c r="B1274" s="145"/>
      <c r="C1274" s="146" t="s">
        <v>408</v>
      </c>
      <c r="D1274" s="151">
        <v>10000</v>
      </c>
      <c r="E1274" s="147">
        <v>18000</v>
      </c>
      <c r="F1274" s="230">
        <v>24000</v>
      </c>
      <c r="G1274" s="147"/>
      <c r="H1274" s="147">
        <f t="shared" si="965"/>
        <v>24000</v>
      </c>
      <c r="I1274" s="147"/>
      <c r="J1274" s="147">
        <f t="shared" si="966"/>
        <v>24000</v>
      </c>
      <c r="K1274" s="147">
        <v>18405</v>
      </c>
      <c r="L1274" s="229">
        <v>20000</v>
      </c>
      <c r="M1274" s="335">
        <f t="shared" si="953"/>
        <v>-0.16666666666666666</v>
      </c>
      <c r="N1274" s="329">
        <f t="shared" si="915"/>
        <v>-4000</v>
      </c>
    </row>
    <row r="1275" spans="1:14" s="142" customFormat="1" ht="14.1" customHeight="1">
      <c r="A1275" s="144"/>
      <c r="B1275" s="145"/>
      <c r="C1275" s="146" t="s">
        <v>409</v>
      </c>
      <c r="D1275" s="151">
        <v>2500</v>
      </c>
      <c r="E1275" s="147">
        <v>1200</v>
      </c>
      <c r="F1275" s="230">
        <v>1600</v>
      </c>
      <c r="G1275" s="147">
        <v>300</v>
      </c>
      <c r="H1275" s="147">
        <f t="shared" si="965"/>
        <v>1900</v>
      </c>
      <c r="I1275" s="147"/>
      <c r="J1275" s="147">
        <f t="shared" si="966"/>
        <v>1900</v>
      </c>
      <c r="K1275" s="147">
        <v>1511</v>
      </c>
      <c r="L1275" s="229">
        <v>1900</v>
      </c>
      <c r="M1275" s="335">
        <f t="shared" si="953"/>
        <v>0</v>
      </c>
      <c r="N1275" s="329">
        <f t="shared" si="915"/>
        <v>0</v>
      </c>
    </row>
    <row r="1276" spans="1:14" s="142" customFormat="1" ht="14.1" customHeight="1">
      <c r="A1276" s="144"/>
      <c r="B1276" s="145" t="s">
        <v>536</v>
      </c>
      <c r="C1276" s="146" t="s">
        <v>607</v>
      </c>
      <c r="D1276" s="151">
        <v>4000</v>
      </c>
      <c r="E1276" s="147">
        <v>3000</v>
      </c>
      <c r="F1276" s="230">
        <v>4000</v>
      </c>
      <c r="G1276" s="242">
        <v>2800</v>
      </c>
      <c r="H1276" s="147">
        <f t="shared" si="965"/>
        <v>6800</v>
      </c>
      <c r="I1276" s="147"/>
      <c r="J1276" s="147">
        <f t="shared" si="966"/>
        <v>6800</v>
      </c>
      <c r="K1276" s="147">
        <v>5625</v>
      </c>
      <c r="L1276" s="229">
        <v>7400</v>
      </c>
      <c r="M1276" s="335">
        <f t="shared" si="953"/>
        <v>8.8235294117647065E-2</v>
      </c>
      <c r="N1276" s="329">
        <f t="shared" si="915"/>
        <v>600</v>
      </c>
    </row>
    <row r="1277" spans="1:14" s="142" customFormat="1" ht="14.1" customHeight="1">
      <c r="A1277" s="144"/>
      <c r="B1277" s="145" t="s">
        <v>537</v>
      </c>
      <c r="C1277" s="146" t="s">
        <v>411</v>
      </c>
      <c r="D1277" s="151">
        <v>4000</v>
      </c>
      <c r="E1277" s="147">
        <v>6000</v>
      </c>
      <c r="F1277" s="230">
        <v>5000</v>
      </c>
      <c r="G1277" s="147">
        <v>-800</v>
      </c>
      <c r="H1277" s="147">
        <f t="shared" si="965"/>
        <v>4200</v>
      </c>
      <c r="I1277" s="229">
        <v>5000</v>
      </c>
      <c r="J1277" s="147">
        <f t="shared" si="966"/>
        <v>9200</v>
      </c>
      <c r="K1277" s="147">
        <v>6301</v>
      </c>
      <c r="L1277" s="229">
        <v>4250</v>
      </c>
      <c r="M1277" s="335">
        <f t="shared" si="953"/>
        <v>-0.53804347826086951</v>
      </c>
      <c r="N1277" s="329">
        <f t="shared" si="915"/>
        <v>-4950</v>
      </c>
    </row>
    <row r="1278" spans="1:14" s="142" customFormat="1" ht="14.1" customHeight="1">
      <c r="A1278" s="144"/>
      <c r="B1278" s="145" t="s">
        <v>629</v>
      </c>
      <c r="C1278" s="146" t="s">
        <v>412</v>
      </c>
      <c r="D1278" s="151">
        <v>1000</v>
      </c>
      <c r="E1278" s="147">
        <v>1000</v>
      </c>
      <c r="F1278" s="230">
        <v>6000</v>
      </c>
      <c r="G1278" s="147"/>
      <c r="H1278" s="147">
        <f t="shared" si="965"/>
        <v>6000</v>
      </c>
      <c r="I1278" s="229">
        <v>3629</v>
      </c>
      <c r="J1278" s="147">
        <f t="shared" si="966"/>
        <v>9629</v>
      </c>
      <c r="K1278" s="147">
        <v>8379</v>
      </c>
      <c r="L1278" s="229">
        <v>6000</v>
      </c>
      <c r="M1278" s="335">
        <f t="shared" si="953"/>
        <v>-0.3768823346141863</v>
      </c>
      <c r="N1278" s="329">
        <f t="shared" si="915"/>
        <v>-3629</v>
      </c>
    </row>
    <row r="1279" spans="1:14" s="142" customFormat="1" ht="14.1" customHeight="1">
      <c r="A1279" s="144"/>
      <c r="B1279" s="145"/>
      <c r="C1279" s="146" t="s">
        <v>414</v>
      </c>
      <c r="D1279" s="151">
        <v>2000</v>
      </c>
      <c r="E1279" s="147">
        <v>6312</v>
      </c>
      <c r="F1279" s="230">
        <v>1000</v>
      </c>
      <c r="G1279" s="147"/>
      <c r="H1279" s="147">
        <f t="shared" si="965"/>
        <v>1000</v>
      </c>
      <c r="I1279" s="147">
        <v>-147</v>
      </c>
      <c r="J1279" s="147">
        <f t="shared" si="966"/>
        <v>853</v>
      </c>
      <c r="K1279" s="147"/>
      <c r="L1279" s="229">
        <f>2000+1200</f>
        <v>3200</v>
      </c>
      <c r="M1279" s="335">
        <f t="shared" si="953"/>
        <v>2.7514654161781946</v>
      </c>
      <c r="N1279" s="329">
        <f t="shared" si="915"/>
        <v>2347</v>
      </c>
    </row>
    <row r="1280" spans="1:14" s="142" customFormat="1" ht="14.1" customHeight="1">
      <c r="A1280" s="144"/>
      <c r="B1280" s="145"/>
      <c r="C1280" s="146" t="s">
        <v>415</v>
      </c>
      <c r="D1280" s="151">
        <v>500</v>
      </c>
      <c r="E1280" s="147">
        <v>900</v>
      </c>
      <c r="F1280" s="230">
        <v>1916</v>
      </c>
      <c r="G1280" s="147"/>
      <c r="H1280" s="147">
        <f t="shared" si="965"/>
        <v>1916</v>
      </c>
      <c r="I1280" s="147">
        <v>-143</v>
      </c>
      <c r="J1280" s="147">
        <f t="shared" si="966"/>
        <v>1773</v>
      </c>
      <c r="K1280" s="147">
        <v>1773</v>
      </c>
      <c r="L1280" s="229">
        <v>2000</v>
      </c>
      <c r="M1280" s="335">
        <f t="shared" si="953"/>
        <v>0.12803158488437677</v>
      </c>
      <c r="N1280" s="329">
        <f t="shared" si="915"/>
        <v>227</v>
      </c>
    </row>
    <row r="1281" spans="1:14" s="142" customFormat="1" ht="14.1" customHeight="1">
      <c r="A1281" s="144"/>
      <c r="B1281" s="145"/>
      <c r="C1281" s="146" t="s">
        <v>416</v>
      </c>
      <c r="D1281" s="151">
        <v>800</v>
      </c>
      <c r="E1281" s="147">
        <v>800</v>
      </c>
      <c r="F1281" s="230">
        <v>5000</v>
      </c>
      <c r="G1281" s="147">
        <v>-5000</v>
      </c>
      <c r="H1281" s="147">
        <f t="shared" si="965"/>
        <v>0</v>
      </c>
      <c r="I1281" s="147"/>
      <c r="J1281" s="147">
        <f t="shared" si="966"/>
        <v>0</v>
      </c>
      <c r="K1281" s="147"/>
      <c r="L1281" s="229"/>
      <c r="M1281" s="335" t="e">
        <f t="shared" si="953"/>
        <v>#DIV/0!</v>
      </c>
      <c r="N1281" s="329">
        <f t="shared" si="915"/>
        <v>0</v>
      </c>
    </row>
    <row r="1282" spans="1:14" s="142" customFormat="1" ht="14.1" customHeight="1">
      <c r="A1282" s="144"/>
      <c r="B1282" s="145"/>
      <c r="C1282" s="146" t="s">
        <v>445</v>
      </c>
      <c r="D1282" s="151"/>
      <c r="E1282" s="147"/>
      <c r="F1282" s="230"/>
      <c r="G1282" s="242">
        <v>7070</v>
      </c>
      <c r="H1282" s="147">
        <f t="shared" si="965"/>
        <v>7070</v>
      </c>
      <c r="I1282" s="147"/>
      <c r="J1282" s="147">
        <f t="shared" si="966"/>
        <v>7070</v>
      </c>
      <c r="K1282" s="147">
        <v>5439</v>
      </c>
      <c r="L1282" s="229">
        <v>7850</v>
      </c>
      <c r="M1282" s="335">
        <f t="shared" si="953"/>
        <v>0.11032531824611033</v>
      </c>
      <c r="N1282" s="329">
        <f t="shared" si="915"/>
        <v>780</v>
      </c>
    </row>
    <row r="1283" spans="1:14" ht="14.1" customHeight="1">
      <c r="A1283" s="32"/>
      <c r="B1283" s="33">
        <v>5513</v>
      </c>
      <c r="C1283" s="34" t="s">
        <v>630</v>
      </c>
      <c r="D1283" s="52">
        <v>9400</v>
      </c>
      <c r="E1283" s="17">
        <v>9400</v>
      </c>
      <c r="F1283" s="224">
        <v>8000</v>
      </c>
      <c r="G1283" s="17">
        <v>1400</v>
      </c>
      <c r="H1283" s="17">
        <f t="shared" si="965"/>
        <v>9400</v>
      </c>
      <c r="I1283" s="17"/>
      <c r="J1283" s="17">
        <f t="shared" si="966"/>
        <v>9400</v>
      </c>
      <c r="K1283" s="17">
        <v>5839</v>
      </c>
      <c r="L1283" s="226">
        <v>13000</v>
      </c>
      <c r="M1283" s="335">
        <f t="shared" si="953"/>
        <v>0.38297872340425532</v>
      </c>
      <c r="N1283" s="329">
        <f t="shared" si="915"/>
        <v>3600</v>
      </c>
    </row>
    <row r="1284" spans="1:14" ht="14.1" customHeight="1">
      <c r="A1284" s="32"/>
      <c r="B1284" s="33">
        <v>5514</v>
      </c>
      <c r="C1284" s="34" t="s">
        <v>631</v>
      </c>
      <c r="D1284" s="52">
        <v>19000</v>
      </c>
      <c r="E1284" s="17">
        <v>22000</v>
      </c>
      <c r="F1284" s="224">
        <v>20000</v>
      </c>
      <c r="G1284" s="17"/>
      <c r="H1284" s="17">
        <f t="shared" si="965"/>
        <v>20000</v>
      </c>
      <c r="I1284" s="255">
        <v>6000</v>
      </c>
      <c r="J1284" s="17">
        <f t="shared" si="966"/>
        <v>26000</v>
      </c>
      <c r="K1284" s="17">
        <v>19123</v>
      </c>
      <c r="L1284" s="226">
        <v>18500</v>
      </c>
      <c r="M1284" s="335">
        <f t="shared" si="953"/>
        <v>-0.28846153846153844</v>
      </c>
      <c r="N1284" s="329">
        <f t="shared" si="915"/>
        <v>-7500</v>
      </c>
    </row>
    <row r="1285" spans="1:14" ht="14.1" customHeight="1">
      <c r="A1285" s="32"/>
      <c r="B1285" s="33">
        <v>5515</v>
      </c>
      <c r="C1285" s="34" t="s">
        <v>632</v>
      </c>
      <c r="D1285" s="52">
        <v>5389</v>
      </c>
      <c r="E1285" s="17">
        <v>4827</v>
      </c>
      <c r="F1285" s="224">
        <v>6000</v>
      </c>
      <c r="G1285" s="17"/>
      <c r="H1285" s="17">
        <f t="shared" si="965"/>
        <v>6000</v>
      </c>
      <c r="I1285" s="17"/>
      <c r="J1285" s="17">
        <f t="shared" si="966"/>
        <v>6000</v>
      </c>
      <c r="K1285" s="17">
        <v>8662</v>
      </c>
      <c r="L1285" s="226">
        <v>5000</v>
      </c>
      <c r="M1285" s="335">
        <f t="shared" si="953"/>
        <v>-0.16666666666666666</v>
      </c>
      <c r="N1285" s="329">
        <f t="shared" si="915"/>
        <v>-1000</v>
      </c>
    </row>
    <row r="1286" spans="1:14" ht="14.1" customHeight="1">
      <c r="A1286" s="32"/>
      <c r="B1286" s="33">
        <v>5516</v>
      </c>
      <c r="C1286" s="34" t="s">
        <v>602</v>
      </c>
      <c r="D1286" s="52">
        <v>0</v>
      </c>
      <c r="E1286" s="17">
        <v>0</v>
      </c>
      <c r="F1286" s="224">
        <v>3000</v>
      </c>
      <c r="G1286" s="17"/>
      <c r="H1286" s="17">
        <f t="shared" si="965"/>
        <v>3000</v>
      </c>
      <c r="I1286" s="17"/>
      <c r="J1286" s="17">
        <f t="shared" si="966"/>
        <v>3000</v>
      </c>
      <c r="K1286" s="17">
        <v>2404</v>
      </c>
      <c r="L1286" s="226">
        <v>6000</v>
      </c>
      <c r="M1286" s="335">
        <f t="shared" si="953"/>
        <v>1</v>
      </c>
      <c r="N1286" s="329">
        <f t="shared" ref="N1286:N1349" si="967">L1286-J1286</f>
        <v>3000</v>
      </c>
    </row>
    <row r="1287" spans="1:14" ht="14.1" customHeight="1">
      <c r="A1287" s="32"/>
      <c r="B1287" s="33">
        <v>5521</v>
      </c>
      <c r="C1287" s="34" t="s">
        <v>418</v>
      </c>
      <c r="D1287" s="52"/>
      <c r="E1287" s="17">
        <v>0</v>
      </c>
      <c r="F1287" s="224"/>
      <c r="G1287" s="17"/>
      <c r="H1287" s="17">
        <f t="shared" si="965"/>
        <v>0</v>
      </c>
      <c r="I1287" s="17"/>
      <c r="J1287" s="17">
        <f t="shared" si="966"/>
        <v>0</v>
      </c>
      <c r="K1287" s="17">
        <v>9</v>
      </c>
      <c r="L1287" s="226"/>
      <c r="M1287" s="335" t="e">
        <f t="shared" si="953"/>
        <v>#DIV/0!</v>
      </c>
      <c r="N1287" s="329">
        <f t="shared" si="967"/>
        <v>0</v>
      </c>
    </row>
    <row r="1288" spans="1:14" ht="14.1" customHeight="1">
      <c r="A1288" s="32"/>
      <c r="B1288" s="33">
        <v>5522</v>
      </c>
      <c r="C1288" s="34" t="s">
        <v>262</v>
      </c>
      <c r="D1288" s="52">
        <v>400</v>
      </c>
      <c r="E1288" s="17">
        <v>500</v>
      </c>
      <c r="F1288" s="224">
        <v>900</v>
      </c>
      <c r="G1288" s="17"/>
      <c r="H1288" s="17">
        <f t="shared" si="965"/>
        <v>900</v>
      </c>
      <c r="I1288" s="17"/>
      <c r="J1288" s="17">
        <f t="shared" si="966"/>
        <v>900</v>
      </c>
      <c r="K1288" s="17">
        <v>108</v>
      </c>
      <c r="L1288" s="226">
        <v>900</v>
      </c>
      <c r="M1288" s="335">
        <f t="shared" si="953"/>
        <v>0</v>
      </c>
      <c r="N1288" s="329">
        <f t="shared" si="967"/>
        <v>0</v>
      </c>
    </row>
    <row r="1289" spans="1:14" ht="14.1" customHeight="1">
      <c r="A1289" s="32"/>
      <c r="B1289" s="33">
        <v>5524</v>
      </c>
      <c r="C1289" s="34" t="s">
        <v>577</v>
      </c>
      <c r="D1289" s="52">
        <v>21448</v>
      </c>
      <c r="E1289" s="17">
        <v>7000</v>
      </c>
      <c r="F1289" s="224">
        <v>8900</v>
      </c>
      <c r="G1289" s="17"/>
      <c r="H1289" s="17">
        <f t="shared" si="965"/>
        <v>8900</v>
      </c>
      <c r="I1289" s="17"/>
      <c r="J1289" s="17">
        <f t="shared" si="966"/>
        <v>8900</v>
      </c>
      <c r="K1289" s="17">
        <v>2421</v>
      </c>
      <c r="L1289" s="226">
        <v>8000</v>
      </c>
      <c r="M1289" s="335">
        <f t="shared" si="953"/>
        <v>-0.10112359550561797</v>
      </c>
      <c r="N1289" s="329">
        <f t="shared" si="967"/>
        <v>-900</v>
      </c>
    </row>
    <row r="1290" spans="1:14" ht="14.1" customHeight="1">
      <c r="A1290" s="32"/>
      <c r="B1290" s="33">
        <v>5525</v>
      </c>
      <c r="C1290" s="34" t="s">
        <v>510</v>
      </c>
      <c r="D1290" s="52">
        <v>3600</v>
      </c>
      <c r="E1290" s="17">
        <v>11000</v>
      </c>
      <c r="F1290" s="224">
        <v>6000</v>
      </c>
      <c r="G1290" s="256">
        <v>2506</v>
      </c>
      <c r="H1290" s="17">
        <f t="shared" si="965"/>
        <v>8506</v>
      </c>
      <c r="I1290" s="17">
        <f>2175+595</f>
        <v>2770</v>
      </c>
      <c r="J1290" s="17">
        <f t="shared" si="966"/>
        <v>11276</v>
      </c>
      <c r="K1290" s="17">
        <v>10426</v>
      </c>
      <c r="L1290" s="226">
        <v>4500</v>
      </c>
      <c r="M1290" s="335">
        <f t="shared" si="953"/>
        <v>-0.60092231287690667</v>
      </c>
      <c r="N1290" s="329">
        <f t="shared" si="967"/>
        <v>-6776</v>
      </c>
    </row>
    <row r="1291" spans="1:14" ht="14.1" customHeight="1">
      <c r="A1291" s="32"/>
      <c r="B1291" s="33">
        <v>5532</v>
      </c>
      <c r="C1291" s="34" t="s">
        <v>633</v>
      </c>
      <c r="D1291" s="52">
        <v>0</v>
      </c>
      <c r="E1291" s="17">
        <v>0</v>
      </c>
      <c r="F1291" s="224">
        <v>0</v>
      </c>
      <c r="G1291" s="17"/>
      <c r="H1291" s="17">
        <f t="shared" si="965"/>
        <v>0</v>
      </c>
      <c r="I1291" s="17"/>
      <c r="J1291" s="17">
        <f t="shared" si="966"/>
        <v>0</v>
      </c>
      <c r="K1291" s="17"/>
      <c r="L1291" s="226"/>
      <c r="M1291" s="335" t="e">
        <f t="shared" si="953"/>
        <v>#DIV/0!</v>
      </c>
      <c r="N1291" s="329">
        <f t="shared" si="967"/>
        <v>0</v>
      </c>
    </row>
    <row r="1292" spans="1:14" ht="14.1" customHeight="1">
      <c r="A1292" s="32"/>
      <c r="B1292" s="33">
        <v>5540</v>
      </c>
      <c r="C1292" s="34" t="s">
        <v>634</v>
      </c>
      <c r="D1292" s="52">
        <v>6000</v>
      </c>
      <c r="E1292" s="17">
        <v>8992</v>
      </c>
      <c r="F1292" s="224">
        <f>6000+2593</f>
        <v>8593</v>
      </c>
      <c r="G1292" s="17">
        <v>1600</v>
      </c>
      <c r="H1292" s="17">
        <f t="shared" si="965"/>
        <v>10193</v>
      </c>
      <c r="I1292" s="255">
        <v>167</v>
      </c>
      <c r="J1292" s="17">
        <f t="shared" si="966"/>
        <v>10360</v>
      </c>
      <c r="K1292" s="17">
        <v>5895</v>
      </c>
      <c r="L1292" s="226">
        <v>16000</v>
      </c>
      <c r="M1292" s="335">
        <f t="shared" si="953"/>
        <v>0.54440154440154442</v>
      </c>
      <c r="N1292" s="329">
        <f t="shared" si="967"/>
        <v>5640</v>
      </c>
    </row>
    <row r="1293" spans="1:14" ht="14.1" customHeight="1">
      <c r="A1293" s="45" t="s">
        <v>635</v>
      </c>
      <c r="B1293" s="46"/>
      <c r="C1293" s="47" t="s">
        <v>636</v>
      </c>
      <c r="D1293" s="53">
        <v>464286</v>
      </c>
      <c r="E1293" s="50">
        <v>490283</v>
      </c>
      <c r="F1293" s="50">
        <f t="shared" ref="F1293" si="968">+F1294+F1295</f>
        <v>579616</v>
      </c>
      <c r="G1293" s="50">
        <f t="shared" ref="G1293:H1293" si="969">+G1294+G1295</f>
        <v>0</v>
      </c>
      <c r="H1293" s="50">
        <f t="shared" si="969"/>
        <v>579616</v>
      </c>
      <c r="I1293" s="50">
        <f t="shared" ref="I1293:J1293" si="970">+I1294+I1295</f>
        <v>0</v>
      </c>
      <c r="J1293" s="50">
        <f t="shared" si="970"/>
        <v>579616</v>
      </c>
      <c r="K1293" s="50">
        <f t="shared" ref="K1293:L1293" si="971">+K1294+K1295</f>
        <v>425052</v>
      </c>
      <c r="L1293" s="50">
        <f t="shared" si="971"/>
        <v>584600</v>
      </c>
      <c r="M1293" s="335">
        <f t="shared" si="953"/>
        <v>8.5987964445425943E-3</v>
      </c>
      <c r="N1293" s="329">
        <f t="shared" si="967"/>
        <v>4984</v>
      </c>
    </row>
    <row r="1294" spans="1:14" ht="14.1" customHeight="1">
      <c r="A1294" s="32"/>
      <c r="B1294" s="38" t="s">
        <v>210</v>
      </c>
      <c r="C1294" s="39" t="s">
        <v>211</v>
      </c>
      <c r="D1294" s="136">
        <v>452846</v>
      </c>
      <c r="E1294" s="143">
        <v>476928</v>
      </c>
      <c r="F1294" s="226">
        <v>566988</v>
      </c>
      <c r="G1294" s="256">
        <v>0</v>
      </c>
      <c r="H1294" s="143">
        <f t="shared" ref="H1294:H1298" si="972">+G1294+F1294</f>
        <v>566988</v>
      </c>
      <c r="I1294" s="143">
        <v>0</v>
      </c>
      <c r="J1294" s="143">
        <f t="shared" ref="J1294" si="973">+I1294+H1294</f>
        <v>566988</v>
      </c>
      <c r="K1294" s="143">
        <v>413597</v>
      </c>
      <c r="L1294" s="225">
        <v>572000</v>
      </c>
      <c r="M1294" s="335">
        <f t="shared" si="953"/>
        <v>8.8396932562946652E-3</v>
      </c>
      <c r="N1294" s="329">
        <f t="shared" si="967"/>
        <v>5012</v>
      </c>
    </row>
    <row r="1295" spans="1:14" ht="14.1" customHeight="1">
      <c r="A1295" s="32"/>
      <c r="B1295" s="38" t="s">
        <v>212</v>
      </c>
      <c r="C1295" s="39" t="s">
        <v>213</v>
      </c>
      <c r="D1295" s="136">
        <v>11440</v>
      </c>
      <c r="E1295" s="137">
        <v>13355</v>
      </c>
      <c r="F1295" s="137">
        <f t="shared" ref="F1295" si="974">+F1296+F1297+F1298</f>
        <v>12628</v>
      </c>
      <c r="G1295" s="256">
        <f t="shared" ref="G1295:H1295" si="975">+G1296+G1297+G1298</f>
        <v>0</v>
      </c>
      <c r="H1295" s="137">
        <f t="shared" si="975"/>
        <v>12628</v>
      </c>
      <c r="I1295" s="137">
        <f t="shared" ref="I1295" si="976">+I1296+I1297+I1298</f>
        <v>0</v>
      </c>
      <c r="J1295" s="137">
        <f>+J1296+J1297+J1298+J1299</f>
        <v>12628</v>
      </c>
      <c r="K1295" s="137">
        <f>+K1296+K1297+K1298+K1299</f>
        <v>11455</v>
      </c>
      <c r="L1295" s="137">
        <f t="shared" ref="L1295" si="977">+L1296+L1297+L1298</f>
        <v>12600</v>
      </c>
      <c r="M1295" s="335">
        <f t="shared" si="953"/>
        <v>-2.2172949002217295E-3</v>
      </c>
      <c r="N1295" s="329">
        <f t="shared" si="967"/>
        <v>-28</v>
      </c>
    </row>
    <row r="1296" spans="1:14" ht="14.1" customHeight="1">
      <c r="A1296" s="32"/>
      <c r="B1296" s="33">
        <v>5504</v>
      </c>
      <c r="C1296" s="34" t="s">
        <v>230</v>
      </c>
      <c r="D1296" s="52">
        <v>1898</v>
      </c>
      <c r="E1296" s="17">
        <v>2263</v>
      </c>
      <c r="F1296" s="224">
        <v>1848</v>
      </c>
      <c r="G1296" s="17">
        <v>0</v>
      </c>
      <c r="H1296" s="17">
        <f t="shared" si="972"/>
        <v>1848</v>
      </c>
      <c r="I1296" s="17">
        <v>0</v>
      </c>
      <c r="J1296" s="17">
        <f t="shared" ref="J1296:J1298" si="978">+I1296+H1296</f>
        <v>1848</v>
      </c>
      <c r="K1296" s="17">
        <v>1646</v>
      </c>
      <c r="L1296" s="226">
        <v>1820</v>
      </c>
      <c r="M1296" s="335">
        <f t="shared" si="953"/>
        <v>-1.5151515151515152E-2</v>
      </c>
      <c r="N1296" s="329">
        <f t="shared" si="967"/>
        <v>-28</v>
      </c>
    </row>
    <row r="1297" spans="1:14" ht="14.1" customHeight="1">
      <c r="A1297" s="32"/>
      <c r="B1297" s="33">
        <v>5524</v>
      </c>
      <c r="C1297" s="34" t="s">
        <v>621</v>
      </c>
      <c r="D1297" s="52">
        <v>9542</v>
      </c>
      <c r="E1297" s="17">
        <v>9730</v>
      </c>
      <c r="F1297" s="224">
        <v>8778</v>
      </c>
      <c r="G1297" s="17">
        <v>0</v>
      </c>
      <c r="H1297" s="17">
        <f t="shared" si="972"/>
        <v>8778</v>
      </c>
      <c r="I1297" s="17">
        <v>0</v>
      </c>
      <c r="J1297" s="17">
        <f t="shared" si="978"/>
        <v>8778</v>
      </c>
      <c r="K1297" s="17">
        <v>8176</v>
      </c>
      <c r="L1297" s="226">
        <v>8778</v>
      </c>
      <c r="M1297" s="335">
        <f t="shared" si="953"/>
        <v>0</v>
      </c>
      <c r="N1297" s="329">
        <f t="shared" si="967"/>
        <v>0</v>
      </c>
    </row>
    <row r="1298" spans="1:14" ht="14.1" customHeight="1">
      <c r="A1298" s="32"/>
      <c r="B1298" s="33">
        <v>5525</v>
      </c>
      <c r="C1298" s="34" t="s">
        <v>613</v>
      </c>
      <c r="D1298" s="52"/>
      <c r="E1298" s="17">
        <v>1362</v>
      </c>
      <c r="F1298" s="224">
        <v>2002</v>
      </c>
      <c r="G1298" s="17">
        <v>0</v>
      </c>
      <c r="H1298" s="17">
        <f t="shared" si="972"/>
        <v>2002</v>
      </c>
      <c r="I1298" s="17">
        <v>0</v>
      </c>
      <c r="J1298" s="17">
        <f t="shared" si="978"/>
        <v>2002</v>
      </c>
      <c r="K1298" s="17">
        <v>1105</v>
      </c>
      <c r="L1298" s="226">
        <v>2002</v>
      </c>
      <c r="M1298" s="335">
        <f t="shared" si="953"/>
        <v>0</v>
      </c>
      <c r="N1298" s="329">
        <f t="shared" si="967"/>
        <v>0</v>
      </c>
    </row>
    <row r="1299" spans="1:14" ht="14.1" customHeight="1">
      <c r="A1299" s="32"/>
      <c r="B1299" s="33">
        <v>5540</v>
      </c>
      <c r="C1299" s="34" t="s">
        <v>637</v>
      </c>
      <c r="D1299" s="52"/>
      <c r="E1299" s="17"/>
      <c r="F1299" s="224"/>
      <c r="G1299" s="17"/>
      <c r="H1299" s="17"/>
      <c r="I1299" s="17"/>
      <c r="J1299" s="17"/>
      <c r="K1299" s="17">
        <v>528</v>
      </c>
      <c r="L1299" s="226"/>
      <c r="M1299" s="335" t="e">
        <f t="shared" si="953"/>
        <v>#DIV/0!</v>
      </c>
      <c r="N1299" s="329">
        <f t="shared" si="967"/>
        <v>0</v>
      </c>
    </row>
    <row r="1300" spans="1:14" ht="14.1" customHeight="1">
      <c r="A1300" s="56" t="s">
        <v>638</v>
      </c>
      <c r="B1300" s="46"/>
      <c r="C1300" s="47" t="s">
        <v>639</v>
      </c>
      <c r="D1300" s="53">
        <v>56200</v>
      </c>
      <c r="E1300" s="54">
        <v>63421</v>
      </c>
      <c r="F1300" s="50">
        <f t="shared" ref="F1300:L1300" si="979">+F1301</f>
        <v>71080</v>
      </c>
      <c r="G1300" s="54">
        <f t="shared" si="979"/>
        <v>0</v>
      </c>
      <c r="H1300" s="54">
        <f t="shared" si="979"/>
        <v>71080</v>
      </c>
      <c r="I1300" s="54">
        <f t="shared" si="979"/>
        <v>0</v>
      </c>
      <c r="J1300" s="54">
        <f t="shared" si="979"/>
        <v>71080</v>
      </c>
      <c r="K1300" s="54">
        <f t="shared" si="979"/>
        <v>52358</v>
      </c>
      <c r="L1300" s="50">
        <f t="shared" si="979"/>
        <v>72000</v>
      </c>
      <c r="M1300" s="335">
        <f t="shared" si="953"/>
        <v>1.2943162633652222E-2</v>
      </c>
      <c r="N1300" s="329">
        <f t="shared" si="967"/>
        <v>920</v>
      </c>
    </row>
    <row r="1301" spans="1:14" ht="14.1" customHeight="1">
      <c r="A1301" s="32"/>
      <c r="B1301" s="38" t="s">
        <v>210</v>
      </c>
      <c r="C1301" s="39" t="s">
        <v>272</v>
      </c>
      <c r="D1301" s="52">
        <v>56200</v>
      </c>
      <c r="E1301" s="143">
        <v>63421</v>
      </c>
      <c r="F1301" s="224">
        <v>71080</v>
      </c>
      <c r="G1301" s="143"/>
      <c r="H1301" s="143">
        <f t="shared" ref="H1301" si="980">+G1301+F1301</f>
        <v>71080</v>
      </c>
      <c r="I1301" s="143"/>
      <c r="J1301" s="143">
        <f t="shared" ref="J1301" si="981">+I1301+H1301</f>
        <v>71080</v>
      </c>
      <c r="K1301" s="143">
        <v>52358</v>
      </c>
      <c r="L1301" s="222">
        <v>72000</v>
      </c>
      <c r="M1301" s="335">
        <f t="shared" si="953"/>
        <v>1.2943162633652222E-2</v>
      </c>
      <c r="N1301" s="329">
        <f t="shared" si="967"/>
        <v>920</v>
      </c>
    </row>
    <row r="1302" spans="1:14" ht="14.1" customHeight="1">
      <c r="A1302" s="45" t="s">
        <v>640</v>
      </c>
      <c r="B1302" s="46"/>
      <c r="C1302" s="47" t="s">
        <v>641</v>
      </c>
      <c r="D1302" s="53">
        <v>203913</v>
      </c>
      <c r="E1302" s="50">
        <v>225687.63</v>
      </c>
      <c r="F1302" s="50">
        <f t="shared" ref="F1302" si="982">+F1303+F1304</f>
        <v>253231</v>
      </c>
      <c r="G1302" s="50">
        <f t="shared" ref="G1302:H1302" si="983">+G1303+G1304</f>
        <v>810</v>
      </c>
      <c r="H1302" s="50">
        <f t="shared" si="983"/>
        <v>254041</v>
      </c>
      <c r="I1302" s="50">
        <f t="shared" ref="I1302:J1302" si="984">+I1303+I1304</f>
        <v>-3000</v>
      </c>
      <c r="J1302" s="50">
        <f t="shared" si="984"/>
        <v>251041</v>
      </c>
      <c r="K1302" s="50">
        <f t="shared" ref="K1302:L1302" si="985">+K1303+K1304</f>
        <v>165765</v>
      </c>
      <c r="L1302" s="50">
        <f t="shared" si="985"/>
        <v>242000</v>
      </c>
      <c r="M1302" s="335">
        <f t="shared" si="953"/>
        <v>-3.6014037547651576E-2</v>
      </c>
      <c r="N1302" s="329">
        <f t="shared" si="967"/>
        <v>-9041</v>
      </c>
    </row>
    <row r="1303" spans="1:14" ht="14.1" customHeight="1">
      <c r="A1303" s="32" t="s">
        <v>642</v>
      </c>
      <c r="B1303" s="38" t="s">
        <v>210</v>
      </c>
      <c r="C1303" s="39" t="s">
        <v>211</v>
      </c>
      <c r="D1303" s="51">
        <v>102056</v>
      </c>
      <c r="E1303" s="143">
        <v>114251</v>
      </c>
      <c r="F1303" s="224">
        <v>131402</v>
      </c>
      <c r="G1303" s="256">
        <v>1210</v>
      </c>
      <c r="H1303" s="143">
        <f t="shared" ref="H1303" si="986">+G1303+F1303</f>
        <v>132612</v>
      </c>
      <c r="I1303" s="152">
        <v>-7000</v>
      </c>
      <c r="J1303" s="143">
        <f t="shared" ref="J1303" si="987">+I1303+H1303</f>
        <v>125612</v>
      </c>
      <c r="K1303" s="143">
        <v>84397</v>
      </c>
      <c r="L1303" s="222">
        <v>121000</v>
      </c>
      <c r="M1303" s="335">
        <f t="shared" si="953"/>
        <v>-3.6716237302168581E-2</v>
      </c>
      <c r="N1303" s="329">
        <f t="shared" si="967"/>
        <v>-4612</v>
      </c>
    </row>
    <row r="1304" spans="1:14" ht="14.1" customHeight="1">
      <c r="A1304" s="32"/>
      <c r="B1304" s="38" t="s">
        <v>212</v>
      </c>
      <c r="C1304" s="39" t="s">
        <v>213</v>
      </c>
      <c r="D1304" s="51">
        <v>101857</v>
      </c>
      <c r="E1304" s="137">
        <v>111436.63</v>
      </c>
      <c r="F1304" s="137">
        <f t="shared" ref="F1304" si="988">+F1305+F1306+F1307+F1308+F1320+F1321+F1322+F1323+F1324+F1325+F1326+F1327+F1328+F1329</f>
        <v>121829</v>
      </c>
      <c r="G1304" s="137">
        <f t="shared" ref="G1304:H1304" si="989">+G1305+G1306+G1307+G1308+G1320+G1321+G1322+G1323+G1324+G1325+G1326+G1327+G1328+G1329</f>
        <v>-400</v>
      </c>
      <c r="H1304" s="137">
        <f t="shared" si="989"/>
        <v>121429</v>
      </c>
      <c r="I1304" s="137">
        <f t="shared" ref="I1304" si="990">+I1305+I1306+I1307+I1308+I1320+I1321+I1322+I1323+I1324+I1325+I1326+I1327+I1328+I1329</f>
        <v>4000</v>
      </c>
      <c r="J1304" s="137">
        <f>+J1305+J1306+J1307+J1308+J1320+J1321+J1322+J1323+J1324+J1325+J1326+J1327+J1328+J1329+J1319</f>
        <v>125429</v>
      </c>
      <c r="K1304" s="137">
        <f t="shared" ref="K1304:L1304" si="991">+K1305+K1306+K1307+K1308+K1320+K1321+K1322+K1323+K1324+K1325+K1326+K1327+K1328+K1329+K1319</f>
        <v>81368</v>
      </c>
      <c r="L1304" s="137">
        <f t="shared" si="991"/>
        <v>121000</v>
      </c>
      <c r="M1304" s="335">
        <f t="shared" si="953"/>
        <v>-3.5310813288792861E-2</v>
      </c>
      <c r="N1304" s="329">
        <f t="shared" si="967"/>
        <v>-4429</v>
      </c>
    </row>
    <row r="1305" spans="1:14" ht="14.1" customHeight="1">
      <c r="A1305" s="32"/>
      <c r="B1305" s="33">
        <v>5500</v>
      </c>
      <c r="C1305" s="34" t="s">
        <v>327</v>
      </c>
      <c r="D1305" s="52">
        <v>3200</v>
      </c>
      <c r="E1305" s="17">
        <v>3250</v>
      </c>
      <c r="F1305" s="226">
        <v>3200</v>
      </c>
      <c r="G1305" s="17"/>
      <c r="H1305" s="17">
        <f t="shared" ref="H1305:H1329" si="992">+G1305+F1305</f>
        <v>3200</v>
      </c>
      <c r="I1305" s="17"/>
      <c r="J1305" s="17">
        <f t="shared" ref="J1305:J1307" si="993">+I1305+H1305</f>
        <v>3200</v>
      </c>
      <c r="K1305" s="17">
        <v>2083</v>
      </c>
      <c r="L1305" s="226">
        <v>3300</v>
      </c>
      <c r="M1305" s="335">
        <f t="shared" si="953"/>
        <v>3.125E-2</v>
      </c>
      <c r="N1305" s="329">
        <f t="shared" si="967"/>
        <v>100</v>
      </c>
    </row>
    <row r="1306" spans="1:14" ht="14.1" customHeight="1">
      <c r="A1306" s="32"/>
      <c r="B1306" s="33">
        <v>5503</v>
      </c>
      <c r="C1306" s="34" t="s">
        <v>216</v>
      </c>
      <c r="D1306" s="52">
        <v>0</v>
      </c>
      <c r="E1306" s="17">
        <v>0</v>
      </c>
      <c r="F1306" s="226">
        <v>0</v>
      </c>
      <c r="G1306" s="17"/>
      <c r="H1306" s="17">
        <f t="shared" si="992"/>
        <v>0</v>
      </c>
      <c r="I1306" s="17"/>
      <c r="J1306" s="17">
        <f t="shared" si="993"/>
        <v>0</v>
      </c>
      <c r="K1306" s="17"/>
      <c r="L1306" s="226"/>
      <c r="M1306" s="335" t="e">
        <f t="shared" si="953"/>
        <v>#DIV/0!</v>
      </c>
      <c r="N1306" s="329">
        <f t="shared" si="967"/>
        <v>0</v>
      </c>
    </row>
    <row r="1307" spans="1:14" ht="14.1" customHeight="1">
      <c r="A1307" s="32"/>
      <c r="B1307" s="33">
        <v>5504</v>
      </c>
      <c r="C1307" s="34" t="s">
        <v>230</v>
      </c>
      <c r="D1307" s="52">
        <v>500</v>
      </c>
      <c r="E1307" s="17">
        <v>2022</v>
      </c>
      <c r="F1307" s="226">
        <v>3000</v>
      </c>
      <c r="G1307" s="17"/>
      <c r="H1307" s="17">
        <f t="shared" si="992"/>
        <v>3000</v>
      </c>
      <c r="I1307" s="17"/>
      <c r="J1307" s="17">
        <f t="shared" si="993"/>
        <v>3000</v>
      </c>
      <c r="K1307" s="17">
        <v>2670</v>
      </c>
      <c r="L1307" s="226">
        <v>3500</v>
      </c>
      <c r="M1307" s="335">
        <f t="shared" si="953"/>
        <v>0.16666666666666666</v>
      </c>
      <c r="N1307" s="329">
        <f t="shared" si="967"/>
        <v>500</v>
      </c>
    </row>
    <row r="1308" spans="1:14" ht="14.1" customHeight="1">
      <c r="A1308" s="32"/>
      <c r="B1308" s="33">
        <v>5511</v>
      </c>
      <c r="C1308" s="34" t="s">
        <v>600</v>
      </c>
      <c r="D1308" s="52">
        <v>46200</v>
      </c>
      <c r="E1308" s="17">
        <v>54100</v>
      </c>
      <c r="F1308" s="226">
        <f t="shared" ref="F1308" si="994">SUM(F1309:F1317)</f>
        <v>60829</v>
      </c>
      <c r="G1308" s="17">
        <f>SUM(G1309:G1318)</f>
        <v>13600</v>
      </c>
      <c r="H1308" s="17">
        <f>SUM(H1309:H1318)</f>
        <v>74429</v>
      </c>
      <c r="I1308" s="17">
        <f>SUM(I1309:I1318)</f>
        <v>5000</v>
      </c>
      <c r="J1308" s="17">
        <f>SUM(J1309:J1318)</f>
        <v>79429</v>
      </c>
      <c r="K1308" s="17">
        <f t="shared" ref="K1308" si="995">SUM(K1309:K1318)</f>
        <v>45027</v>
      </c>
      <c r="L1308" s="17">
        <f>SUM(L1309:L1318)</f>
        <v>75200</v>
      </c>
      <c r="M1308" s="335">
        <f t="shared" si="953"/>
        <v>-5.3242518475619734E-2</v>
      </c>
      <c r="N1308" s="329">
        <f t="shared" si="967"/>
        <v>-4229</v>
      </c>
    </row>
    <row r="1309" spans="1:14" s="8" customFormat="1" ht="14.1" customHeight="1">
      <c r="A1309" s="176"/>
      <c r="B1309" s="177"/>
      <c r="C1309" s="178" t="s">
        <v>407</v>
      </c>
      <c r="D1309" s="179">
        <v>3500</v>
      </c>
      <c r="E1309" s="182">
        <v>0</v>
      </c>
      <c r="F1309" s="227">
        <v>0</v>
      </c>
      <c r="G1309" s="182"/>
      <c r="H1309" s="182">
        <f t="shared" si="992"/>
        <v>0</v>
      </c>
      <c r="I1309" s="182"/>
      <c r="J1309" s="182">
        <f t="shared" ref="J1309:J1329" si="996">+I1309+H1309</f>
        <v>0</v>
      </c>
      <c r="K1309" s="182">
        <v>0</v>
      </c>
      <c r="L1309" s="227">
        <v>0</v>
      </c>
      <c r="M1309" s="335" t="e">
        <f t="shared" si="953"/>
        <v>#DIV/0!</v>
      </c>
      <c r="N1309" s="329">
        <f t="shared" si="967"/>
        <v>0</v>
      </c>
    </row>
    <row r="1310" spans="1:14" s="8" customFormat="1" ht="14.1" customHeight="1">
      <c r="A1310" s="176"/>
      <c r="B1310" s="177"/>
      <c r="C1310" s="178" t="s">
        <v>408</v>
      </c>
      <c r="D1310" s="179">
        <v>26000</v>
      </c>
      <c r="E1310" s="182">
        <v>31200</v>
      </c>
      <c r="F1310" s="227">
        <v>40000</v>
      </c>
      <c r="G1310" s="182"/>
      <c r="H1310" s="182">
        <f t="shared" si="992"/>
        <v>40000</v>
      </c>
      <c r="I1310" s="182">
        <v>5000</v>
      </c>
      <c r="J1310" s="182">
        <f t="shared" si="996"/>
        <v>45000</v>
      </c>
      <c r="K1310" s="182">
        <v>24875</v>
      </c>
      <c r="L1310" s="227">
        <v>40000</v>
      </c>
      <c r="M1310" s="335">
        <f t="shared" si="953"/>
        <v>-0.1111111111111111</v>
      </c>
      <c r="N1310" s="329">
        <f t="shared" si="967"/>
        <v>-5000</v>
      </c>
    </row>
    <row r="1311" spans="1:14" s="8" customFormat="1" ht="14.1" customHeight="1">
      <c r="A1311" s="176"/>
      <c r="B1311" s="177"/>
      <c r="C1311" s="178" t="s">
        <v>409</v>
      </c>
      <c r="D1311" s="179">
        <v>1200</v>
      </c>
      <c r="E1311" s="182">
        <v>1200</v>
      </c>
      <c r="F1311" s="227">
        <v>1000</v>
      </c>
      <c r="G1311" s="182"/>
      <c r="H1311" s="182">
        <f t="shared" si="992"/>
        <v>1000</v>
      </c>
      <c r="I1311" s="182"/>
      <c r="J1311" s="182">
        <f t="shared" si="996"/>
        <v>1000</v>
      </c>
      <c r="K1311" s="182">
        <v>530</v>
      </c>
      <c r="L1311" s="227">
        <v>1000</v>
      </c>
      <c r="M1311" s="335">
        <f t="shared" si="953"/>
        <v>0</v>
      </c>
      <c r="N1311" s="329">
        <f t="shared" si="967"/>
        <v>0</v>
      </c>
    </row>
    <row r="1312" spans="1:14" s="8" customFormat="1" ht="14.1" customHeight="1">
      <c r="A1312" s="176"/>
      <c r="B1312" s="177"/>
      <c r="C1312" s="178" t="s">
        <v>607</v>
      </c>
      <c r="D1312" s="179">
        <v>5000</v>
      </c>
      <c r="E1312" s="182">
        <v>5500</v>
      </c>
      <c r="F1312" s="227">
        <v>5000</v>
      </c>
      <c r="G1312" s="243">
        <v>1000</v>
      </c>
      <c r="H1312" s="182">
        <f t="shared" si="992"/>
        <v>6000</v>
      </c>
      <c r="I1312" s="182"/>
      <c r="J1312" s="182">
        <f t="shared" si="996"/>
        <v>6000</v>
      </c>
      <c r="K1312" s="182">
        <v>3893</v>
      </c>
      <c r="L1312" s="227">
        <v>5000</v>
      </c>
      <c r="M1312" s="335">
        <f t="shared" si="953"/>
        <v>-0.16666666666666666</v>
      </c>
      <c r="N1312" s="329">
        <f t="shared" si="967"/>
        <v>-1000</v>
      </c>
    </row>
    <row r="1313" spans="1:14" s="8" customFormat="1" ht="14.1" customHeight="1">
      <c r="A1313" s="176"/>
      <c r="B1313" s="177"/>
      <c r="C1313" s="178" t="s">
        <v>411</v>
      </c>
      <c r="D1313" s="179">
        <v>10000</v>
      </c>
      <c r="E1313" s="182">
        <v>5000</v>
      </c>
      <c r="F1313" s="227">
        <v>4000</v>
      </c>
      <c r="G1313" s="243">
        <v>3210</v>
      </c>
      <c r="H1313" s="182">
        <f t="shared" si="992"/>
        <v>7210</v>
      </c>
      <c r="I1313" s="182"/>
      <c r="J1313" s="182">
        <f t="shared" si="996"/>
        <v>7210</v>
      </c>
      <c r="K1313" s="182">
        <v>4017</v>
      </c>
      <c r="L1313" s="227">
        <v>7000</v>
      </c>
      <c r="M1313" s="335">
        <f t="shared" si="953"/>
        <v>-2.9126213592233011E-2</v>
      </c>
      <c r="N1313" s="329">
        <f t="shared" si="967"/>
        <v>-210</v>
      </c>
    </row>
    <row r="1314" spans="1:14" s="8" customFormat="1" ht="14.1" customHeight="1">
      <c r="A1314" s="176"/>
      <c r="B1314" s="177"/>
      <c r="C1314" s="178" t="s">
        <v>643</v>
      </c>
      <c r="D1314" s="179">
        <v>0</v>
      </c>
      <c r="E1314" s="182">
        <v>700</v>
      </c>
      <c r="F1314" s="227">
        <v>600</v>
      </c>
      <c r="G1314" s="182"/>
      <c r="H1314" s="182">
        <f t="shared" si="992"/>
        <v>600</v>
      </c>
      <c r="I1314" s="182"/>
      <c r="J1314" s="182">
        <f t="shared" si="996"/>
        <v>600</v>
      </c>
      <c r="K1314" s="182">
        <v>379</v>
      </c>
      <c r="L1314" s="227">
        <v>750</v>
      </c>
      <c r="M1314" s="335">
        <f t="shared" si="953"/>
        <v>0.25</v>
      </c>
      <c r="N1314" s="329">
        <f t="shared" si="967"/>
        <v>150</v>
      </c>
    </row>
    <row r="1315" spans="1:14" s="8" customFormat="1" ht="14.1" customHeight="1">
      <c r="A1315" s="176"/>
      <c r="B1315" s="177"/>
      <c r="C1315" s="178" t="s">
        <v>644</v>
      </c>
      <c r="D1315" s="179">
        <v>0</v>
      </c>
      <c r="E1315" s="182">
        <v>10000</v>
      </c>
      <c r="F1315" s="227">
        <v>10000</v>
      </c>
      <c r="G1315" s="182"/>
      <c r="H1315" s="182">
        <f t="shared" si="992"/>
        <v>10000</v>
      </c>
      <c r="I1315" s="182">
        <v>-758</v>
      </c>
      <c r="J1315" s="182">
        <f t="shared" si="996"/>
        <v>9242</v>
      </c>
      <c r="K1315" s="182">
        <v>3368</v>
      </c>
      <c r="L1315" s="317">
        <v>10000</v>
      </c>
      <c r="M1315" s="335">
        <f t="shared" si="953"/>
        <v>8.2016879463319634E-2</v>
      </c>
      <c r="N1315" s="329">
        <f t="shared" si="967"/>
        <v>758</v>
      </c>
    </row>
    <row r="1316" spans="1:14" s="8" customFormat="1" ht="14.1" customHeight="1">
      <c r="A1316" s="176"/>
      <c r="B1316" s="177"/>
      <c r="C1316" s="178" t="s">
        <v>645</v>
      </c>
      <c r="D1316" s="179">
        <v>0</v>
      </c>
      <c r="E1316" s="182">
        <v>0</v>
      </c>
      <c r="F1316" s="227">
        <v>0</v>
      </c>
      <c r="G1316" s="182"/>
      <c r="H1316" s="182">
        <f t="shared" si="992"/>
        <v>0</v>
      </c>
      <c r="I1316" s="182"/>
      <c r="J1316" s="182">
        <f t="shared" si="996"/>
        <v>0</v>
      </c>
      <c r="K1316" s="182"/>
      <c r="L1316" s="227"/>
      <c r="M1316" s="335" t="e">
        <f t="shared" si="953"/>
        <v>#DIV/0!</v>
      </c>
      <c r="N1316" s="329">
        <f t="shared" si="967"/>
        <v>0</v>
      </c>
    </row>
    <row r="1317" spans="1:14" s="8" customFormat="1" ht="14.1" customHeight="1">
      <c r="A1317" s="176"/>
      <c r="B1317" s="177"/>
      <c r="C1317" s="178" t="s">
        <v>646</v>
      </c>
      <c r="D1317" s="179">
        <v>500</v>
      </c>
      <c r="E1317" s="182">
        <v>500</v>
      </c>
      <c r="F1317" s="227">
        <v>229</v>
      </c>
      <c r="G1317" s="182"/>
      <c r="H1317" s="182">
        <f t="shared" si="992"/>
        <v>229</v>
      </c>
      <c r="I1317" s="182">
        <v>758</v>
      </c>
      <c r="J1317" s="182">
        <f t="shared" si="996"/>
        <v>987</v>
      </c>
      <c r="K1317" s="182">
        <v>987</v>
      </c>
      <c r="L1317" s="227">
        <v>1000</v>
      </c>
      <c r="M1317" s="335">
        <f t="shared" si="953"/>
        <v>1.3171225937183385E-2</v>
      </c>
      <c r="N1317" s="329">
        <f t="shared" si="967"/>
        <v>13</v>
      </c>
    </row>
    <row r="1318" spans="1:14" s="8" customFormat="1" ht="14.1" customHeight="1">
      <c r="A1318" s="176"/>
      <c r="B1318" s="177"/>
      <c r="C1318" s="146" t="s">
        <v>445</v>
      </c>
      <c r="D1318" s="179"/>
      <c r="E1318" s="182"/>
      <c r="F1318" s="227"/>
      <c r="G1318" s="243">
        <v>9390</v>
      </c>
      <c r="H1318" s="182">
        <f t="shared" si="992"/>
        <v>9390</v>
      </c>
      <c r="I1318" s="182"/>
      <c r="J1318" s="182">
        <f t="shared" si="996"/>
        <v>9390</v>
      </c>
      <c r="K1318" s="182">
        <v>6978</v>
      </c>
      <c r="L1318" s="227">
        <v>10450</v>
      </c>
      <c r="M1318" s="335">
        <f t="shared" si="953"/>
        <v>0.11288604898828541</v>
      </c>
      <c r="N1318" s="329">
        <f t="shared" si="967"/>
        <v>1060</v>
      </c>
    </row>
    <row r="1319" spans="1:14" s="8" customFormat="1" ht="14.1" customHeight="1">
      <c r="A1319" s="176"/>
      <c r="B1319" s="33">
        <v>5512</v>
      </c>
      <c r="C1319" s="34" t="s">
        <v>344</v>
      </c>
      <c r="D1319" s="179"/>
      <c r="E1319" s="182"/>
      <c r="F1319" s="227"/>
      <c r="G1319" s="243"/>
      <c r="H1319" s="182"/>
      <c r="I1319" s="182"/>
      <c r="J1319" s="182"/>
      <c r="K1319" s="17">
        <v>14</v>
      </c>
      <c r="L1319" s="227"/>
      <c r="M1319" s="335"/>
      <c r="N1319" s="329">
        <f t="shared" si="967"/>
        <v>0</v>
      </c>
    </row>
    <row r="1320" spans="1:14" ht="14.1" customHeight="1">
      <c r="A1320" s="32"/>
      <c r="B1320" s="33">
        <v>5513</v>
      </c>
      <c r="C1320" s="34" t="s">
        <v>435</v>
      </c>
      <c r="D1320" s="52">
        <v>2000</v>
      </c>
      <c r="E1320" s="17">
        <v>1000</v>
      </c>
      <c r="F1320" s="226">
        <v>800</v>
      </c>
      <c r="G1320" s="17"/>
      <c r="H1320" s="17">
        <f t="shared" si="992"/>
        <v>800</v>
      </c>
      <c r="I1320" s="17"/>
      <c r="J1320" s="17">
        <f t="shared" si="996"/>
        <v>800</v>
      </c>
      <c r="K1320" s="17">
        <v>235</v>
      </c>
      <c r="L1320" s="226">
        <v>800</v>
      </c>
      <c r="M1320" s="335">
        <f t="shared" si="953"/>
        <v>0</v>
      </c>
      <c r="N1320" s="329">
        <f t="shared" si="967"/>
        <v>0</v>
      </c>
    </row>
    <row r="1321" spans="1:14" ht="14.1" customHeight="1">
      <c r="A1321" s="32"/>
      <c r="B1321" s="33">
        <v>5514</v>
      </c>
      <c r="C1321" s="34" t="s">
        <v>508</v>
      </c>
      <c r="D1321" s="52">
        <v>16000</v>
      </c>
      <c r="E1321" s="17">
        <v>16000</v>
      </c>
      <c r="F1321" s="226">
        <v>15000</v>
      </c>
      <c r="G1321" s="17"/>
      <c r="H1321" s="17">
        <f t="shared" si="992"/>
        <v>15000</v>
      </c>
      <c r="I1321" s="17"/>
      <c r="J1321" s="17">
        <f t="shared" si="996"/>
        <v>15000</v>
      </c>
      <c r="K1321" s="17">
        <v>12430</v>
      </c>
      <c r="L1321" s="226">
        <v>16000</v>
      </c>
      <c r="M1321" s="335">
        <f t="shared" si="953"/>
        <v>6.6666666666666666E-2</v>
      </c>
      <c r="N1321" s="329">
        <f t="shared" si="967"/>
        <v>1000</v>
      </c>
    </row>
    <row r="1322" spans="1:14" ht="14.1" customHeight="1">
      <c r="A1322" s="32"/>
      <c r="B1322" s="33">
        <v>5515</v>
      </c>
      <c r="C1322" s="34" t="s">
        <v>509</v>
      </c>
      <c r="D1322" s="52">
        <v>6526</v>
      </c>
      <c r="E1322" s="17">
        <v>5900</v>
      </c>
      <c r="F1322" s="226">
        <v>7000</v>
      </c>
      <c r="G1322" s="17"/>
      <c r="H1322" s="17">
        <f t="shared" si="992"/>
        <v>7000</v>
      </c>
      <c r="I1322" s="17"/>
      <c r="J1322" s="17">
        <f t="shared" si="996"/>
        <v>7000</v>
      </c>
      <c r="K1322" s="17">
        <v>2315</v>
      </c>
      <c r="L1322" s="226">
        <v>8000</v>
      </c>
      <c r="M1322" s="335">
        <f t="shared" si="953"/>
        <v>0.14285714285714285</v>
      </c>
      <c r="N1322" s="329">
        <f t="shared" si="967"/>
        <v>1000</v>
      </c>
    </row>
    <row r="1323" spans="1:14" ht="13.5" customHeight="1">
      <c r="A1323" s="32"/>
      <c r="B1323" s="33">
        <v>5516</v>
      </c>
      <c r="C1323" s="58" t="s">
        <v>259</v>
      </c>
      <c r="D1323" s="52">
        <v>0</v>
      </c>
      <c r="E1323" s="17">
        <v>0</v>
      </c>
      <c r="F1323" s="226">
        <v>2000</v>
      </c>
      <c r="G1323" s="17"/>
      <c r="H1323" s="17">
        <f t="shared" si="992"/>
        <v>2000</v>
      </c>
      <c r="I1323" s="17">
        <v>-1000</v>
      </c>
      <c r="J1323" s="17">
        <f t="shared" si="996"/>
        <v>1000</v>
      </c>
      <c r="K1323" s="17">
        <v>481</v>
      </c>
      <c r="L1323" s="226">
        <v>1000</v>
      </c>
      <c r="M1323" s="335">
        <f t="shared" si="953"/>
        <v>0</v>
      </c>
      <c r="N1323" s="329">
        <f t="shared" si="967"/>
        <v>0</v>
      </c>
    </row>
    <row r="1324" spans="1:14" ht="12.6">
      <c r="A1324" s="32"/>
      <c r="B1324" s="33">
        <v>5521</v>
      </c>
      <c r="C1324" s="34" t="s">
        <v>418</v>
      </c>
      <c r="D1324" s="52">
        <v>0</v>
      </c>
      <c r="E1324" s="17">
        <v>0</v>
      </c>
      <c r="F1324" s="226">
        <v>0</v>
      </c>
      <c r="G1324" s="17"/>
      <c r="H1324" s="17">
        <f t="shared" si="992"/>
        <v>0</v>
      </c>
      <c r="I1324" s="17"/>
      <c r="J1324" s="17">
        <f t="shared" si="996"/>
        <v>0</v>
      </c>
      <c r="K1324" s="17"/>
      <c r="L1324" s="226"/>
      <c r="M1324" s="335" t="e">
        <f t="shared" si="953"/>
        <v>#DIV/0!</v>
      </c>
      <c r="N1324" s="329">
        <f t="shared" si="967"/>
        <v>0</v>
      </c>
    </row>
    <row r="1325" spans="1:14" ht="14.1" customHeight="1">
      <c r="A1325" s="32"/>
      <c r="B1325" s="33">
        <v>5522</v>
      </c>
      <c r="C1325" s="34" t="s">
        <v>647</v>
      </c>
      <c r="D1325" s="52">
        <v>300</v>
      </c>
      <c r="E1325" s="17">
        <v>400</v>
      </c>
      <c r="F1325" s="226">
        <v>1000</v>
      </c>
      <c r="G1325" s="17">
        <v>-400</v>
      </c>
      <c r="H1325" s="17">
        <f t="shared" si="992"/>
        <v>600</v>
      </c>
      <c r="I1325" s="17"/>
      <c r="J1325" s="17">
        <f t="shared" si="996"/>
        <v>600</v>
      </c>
      <c r="K1325" s="17">
        <v>515</v>
      </c>
      <c r="L1325" s="226">
        <v>600</v>
      </c>
      <c r="M1325" s="335">
        <f t="shared" si="953"/>
        <v>0</v>
      </c>
      <c r="N1325" s="329">
        <f t="shared" si="967"/>
        <v>0</v>
      </c>
    </row>
    <row r="1326" spans="1:14" ht="14.1" customHeight="1">
      <c r="A1326" s="32"/>
      <c r="B1326" s="33">
        <v>5523</v>
      </c>
      <c r="C1326" s="34" t="s">
        <v>609</v>
      </c>
      <c r="D1326" s="52">
        <v>0</v>
      </c>
      <c r="E1326" s="17">
        <v>0</v>
      </c>
      <c r="F1326" s="226">
        <v>0</v>
      </c>
      <c r="G1326" s="17"/>
      <c r="H1326" s="17">
        <f t="shared" si="992"/>
        <v>0</v>
      </c>
      <c r="I1326" s="17"/>
      <c r="J1326" s="17">
        <f t="shared" si="996"/>
        <v>0</v>
      </c>
      <c r="K1326" s="17"/>
      <c r="L1326" s="226"/>
      <c r="M1326" s="335" t="e">
        <f t="shared" si="953"/>
        <v>#DIV/0!</v>
      </c>
      <c r="N1326" s="329">
        <f t="shared" si="967"/>
        <v>0</v>
      </c>
    </row>
    <row r="1327" spans="1:14" ht="14.1" customHeight="1">
      <c r="A1327" s="32"/>
      <c r="B1327" s="33">
        <v>5524</v>
      </c>
      <c r="C1327" s="34" t="s">
        <v>621</v>
      </c>
      <c r="D1327" s="52">
        <v>7259</v>
      </c>
      <c r="E1327" s="17">
        <v>3062</v>
      </c>
      <c r="F1327" s="226">
        <v>3500</v>
      </c>
      <c r="G1327" s="17"/>
      <c r="H1327" s="17">
        <f t="shared" si="992"/>
        <v>3500</v>
      </c>
      <c r="I1327" s="17"/>
      <c r="J1327" s="17">
        <f t="shared" si="996"/>
        <v>3500</v>
      </c>
      <c r="K1327" s="17">
        <v>4284</v>
      </c>
      <c r="L1327" s="226">
        <v>5000</v>
      </c>
      <c r="M1327" s="335">
        <f t="shared" si="953"/>
        <v>0.42857142857142855</v>
      </c>
      <c r="N1327" s="329">
        <f t="shared" si="967"/>
        <v>1500</v>
      </c>
    </row>
    <row r="1328" spans="1:14" ht="14.1" customHeight="1">
      <c r="A1328" s="32"/>
      <c r="B1328" s="33">
        <v>5525</v>
      </c>
      <c r="C1328" s="34" t="s">
        <v>648</v>
      </c>
      <c r="D1328" s="52">
        <v>5000</v>
      </c>
      <c r="E1328" s="17">
        <v>2800</v>
      </c>
      <c r="F1328" s="226">
        <v>3000</v>
      </c>
      <c r="G1328" s="17"/>
      <c r="H1328" s="17">
        <f t="shared" si="992"/>
        <v>3000</v>
      </c>
      <c r="I1328" s="17"/>
      <c r="J1328" s="17">
        <f t="shared" si="996"/>
        <v>3000</v>
      </c>
      <c r="K1328" s="17">
        <v>4786</v>
      </c>
      <c r="L1328" s="226">
        <v>4000</v>
      </c>
      <c r="M1328" s="335">
        <f t="shared" si="953"/>
        <v>0.33333333333333331</v>
      </c>
      <c r="N1328" s="329">
        <f t="shared" si="967"/>
        <v>1000</v>
      </c>
    </row>
    <row r="1329" spans="1:14" ht="14.1" customHeight="1">
      <c r="A1329" s="32"/>
      <c r="B1329" s="33">
        <v>5540</v>
      </c>
      <c r="C1329" s="34" t="s">
        <v>649</v>
      </c>
      <c r="D1329" s="52">
        <v>14872</v>
      </c>
      <c r="E1329" s="17">
        <v>22902.63</v>
      </c>
      <c r="F1329" s="226">
        <v>22500</v>
      </c>
      <c r="G1329" s="194">
        <v>-13600</v>
      </c>
      <c r="H1329" s="17">
        <f t="shared" si="992"/>
        <v>8900</v>
      </c>
      <c r="I1329" s="17"/>
      <c r="J1329" s="17">
        <f t="shared" si="996"/>
        <v>8900</v>
      </c>
      <c r="K1329" s="17">
        <v>6528</v>
      </c>
      <c r="L1329" s="226">
        <v>3600</v>
      </c>
      <c r="M1329" s="335">
        <f t="shared" ref="M1329:M1395" si="997">(L1329-J1329)/J1329</f>
        <v>-0.5955056179775281</v>
      </c>
      <c r="N1329" s="329">
        <f t="shared" si="967"/>
        <v>-5300</v>
      </c>
    </row>
    <row r="1330" spans="1:14" ht="14.1" customHeight="1">
      <c r="A1330" s="45" t="s">
        <v>650</v>
      </c>
      <c r="B1330" s="46"/>
      <c r="C1330" s="47" t="s">
        <v>651</v>
      </c>
      <c r="D1330" s="53">
        <v>271634</v>
      </c>
      <c r="E1330" s="54">
        <v>325952</v>
      </c>
      <c r="F1330" s="54">
        <f t="shared" ref="F1330" si="998">+F1331+F1332</f>
        <v>374145</v>
      </c>
      <c r="G1330" s="54">
        <f t="shared" ref="G1330:H1330" si="999">+G1331+G1332</f>
        <v>23607</v>
      </c>
      <c r="H1330" s="54">
        <f t="shared" si="999"/>
        <v>397752</v>
      </c>
      <c r="I1330" s="54">
        <f t="shared" ref="I1330:J1330" si="1000">+I1331+I1332</f>
        <v>0</v>
      </c>
      <c r="J1330" s="54">
        <f t="shared" si="1000"/>
        <v>397752</v>
      </c>
      <c r="K1330" s="54">
        <f t="shared" ref="K1330:L1330" si="1001">+K1331+K1332</f>
        <v>269266</v>
      </c>
      <c r="L1330" s="54">
        <f t="shared" si="1001"/>
        <v>421600</v>
      </c>
      <c r="M1330" s="335">
        <f t="shared" si="997"/>
        <v>5.9956958104547556E-2</v>
      </c>
      <c r="N1330" s="329">
        <f t="shared" si="967"/>
        <v>23848</v>
      </c>
    </row>
    <row r="1331" spans="1:14" ht="14.1" customHeight="1">
      <c r="A1331" s="32"/>
      <c r="B1331" s="38" t="s">
        <v>210</v>
      </c>
      <c r="C1331" s="39" t="s">
        <v>211</v>
      </c>
      <c r="D1331" s="51">
        <v>266503</v>
      </c>
      <c r="E1331" s="143">
        <v>318269</v>
      </c>
      <c r="F1331" s="226">
        <v>368159</v>
      </c>
      <c r="G1331" s="256">
        <v>23607</v>
      </c>
      <c r="H1331" s="143">
        <f t="shared" ref="H1331:H1335" si="1002">+G1331+F1331</f>
        <v>391766</v>
      </c>
      <c r="I1331" s="143"/>
      <c r="J1331" s="143">
        <f t="shared" ref="J1331" si="1003">+I1331+H1331</f>
        <v>391766</v>
      </c>
      <c r="K1331" s="143">
        <v>264470</v>
      </c>
      <c r="L1331" s="225">
        <v>415600</v>
      </c>
      <c r="M1331" s="335">
        <f t="shared" si="997"/>
        <v>6.0837336573362669E-2</v>
      </c>
      <c r="N1331" s="329">
        <f t="shared" si="967"/>
        <v>23834</v>
      </c>
    </row>
    <row r="1332" spans="1:14" ht="14.1" customHeight="1">
      <c r="A1332" s="32"/>
      <c r="B1332" s="38" t="s">
        <v>212</v>
      </c>
      <c r="C1332" s="39" t="s">
        <v>213</v>
      </c>
      <c r="D1332" s="51">
        <v>5131</v>
      </c>
      <c r="E1332" s="137">
        <v>7683</v>
      </c>
      <c r="F1332" s="137">
        <f t="shared" ref="F1332:H1332" si="1004">+F1333+F1334+F1335</f>
        <v>5986</v>
      </c>
      <c r="G1332" s="256">
        <f t="shared" si="1004"/>
        <v>0</v>
      </c>
      <c r="H1332" s="137">
        <f t="shared" si="1004"/>
        <v>5986</v>
      </c>
      <c r="I1332" s="137">
        <f t="shared" ref="I1332:J1332" si="1005">+I1333+I1334+I1335</f>
        <v>0</v>
      </c>
      <c r="J1332" s="137">
        <f t="shared" si="1005"/>
        <v>5986</v>
      </c>
      <c r="K1332" s="137">
        <f t="shared" ref="K1332:L1332" si="1006">+K1333+K1334+K1335</f>
        <v>4796</v>
      </c>
      <c r="L1332" s="137">
        <f t="shared" si="1006"/>
        <v>6000</v>
      </c>
      <c r="M1332" s="335">
        <f t="shared" si="997"/>
        <v>2.3387905111927833E-3</v>
      </c>
      <c r="N1332" s="329">
        <f t="shared" si="967"/>
        <v>14</v>
      </c>
    </row>
    <row r="1333" spans="1:14" ht="14.1" customHeight="1">
      <c r="A1333" s="32"/>
      <c r="B1333" s="33">
        <v>5504</v>
      </c>
      <c r="C1333" s="34" t="s">
        <v>230</v>
      </c>
      <c r="D1333" s="52">
        <v>977</v>
      </c>
      <c r="E1333" s="17">
        <v>2179</v>
      </c>
      <c r="F1333" s="226">
        <v>876</v>
      </c>
      <c r="G1333" s="17">
        <v>0</v>
      </c>
      <c r="H1333" s="17">
        <f t="shared" si="1002"/>
        <v>876</v>
      </c>
      <c r="I1333" s="17">
        <v>0</v>
      </c>
      <c r="J1333" s="17">
        <f t="shared" ref="J1333:J1335" si="1007">+I1333+H1333</f>
        <v>876</v>
      </c>
      <c r="K1333" s="17">
        <v>731</v>
      </c>
      <c r="L1333" s="226">
        <v>876</v>
      </c>
      <c r="M1333" s="335">
        <f t="shared" si="997"/>
        <v>0</v>
      </c>
      <c r="N1333" s="329">
        <f t="shared" si="967"/>
        <v>0</v>
      </c>
    </row>
    <row r="1334" spans="1:14" ht="14.1" customHeight="1">
      <c r="A1334" s="32"/>
      <c r="B1334" s="33">
        <v>5524</v>
      </c>
      <c r="C1334" s="34" t="s">
        <v>577</v>
      </c>
      <c r="D1334" s="52">
        <v>4154</v>
      </c>
      <c r="E1334" s="17">
        <v>4884</v>
      </c>
      <c r="F1334" s="226">
        <v>4161</v>
      </c>
      <c r="G1334" s="17">
        <v>0</v>
      </c>
      <c r="H1334" s="17">
        <f t="shared" si="1002"/>
        <v>4161</v>
      </c>
      <c r="I1334" s="17">
        <v>0</v>
      </c>
      <c r="J1334" s="17">
        <f t="shared" si="1007"/>
        <v>4161</v>
      </c>
      <c r="K1334" s="17">
        <v>3975</v>
      </c>
      <c r="L1334" s="226">
        <v>4175</v>
      </c>
      <c r="M1334" s="335">
        <f t="shared" si="997"/>
        <v>3.3645758231194423E-3</v>
      </c>
      <c r="N1334" s="329">
        <f t="shared" si="967"/>
        <v>14</v>
      </c>
    </row>
    <row r="1335" spans="1:14" ht="14.1" customHeight="1">
      <c r="A1335" s="32"/>
      <c r="B1335" s="33">
        <v>5525</v>
      </c>
      <c r="C1335" s="34" t="s">
        <v>613</v>
      </c>
      <c r="D1335" s="52"/>
      <c r="E1335" s="17">
        <v>620</v>
      </c>
      <c r="F1335" s="226">
        <v>949</v>
      </c>
      <c r="G1335" s="17">
        <v>0</v>
      </c>
      <c r="H1335" s="17">
        <f t="shared" si="1002"/>
        <v>949</v>
      </c>
      <c r="I1335" s="17">
        <v>0</v>
      </c>
      <c r="J1335" s="17">
        <f t="shared" si="1007"/>
        <v>949</v>
      </c>
      <c r="K1335" s="17">
        <v>90</v>
      </c>
      <c r="L1335" s="226">
        <v>949</v>
      </c>
      <c r="M1335" s="335">
        <f t="shared" si="997"/>
        <v>0</v>
      </c>
      <c r="N1335" s="329">
        <f t="shared" si="967"/>
        <v>0</v>
      </c>
    </row>
    <row r="1336" spans="1:14" ht="14.1" customHeight="1">
      <c r="A1336" s="56" t="s">
        <v>652</v>
      </c>
      <c r="B1336" s="46"/>
      <c r="C1336" s="47" t="s">
        <v>653</v>
      </c>
      <c r="D1336" s="53">
        <v>32246</v>
      </c>
      <c r="E1336" s="54">
        <v>34920</v>
      </c>
      <c r="F1336" s="54">
        <f t="shared" ref="F1336:L1336" si="1008">+F1337</f>
        <v>51813</v>
      </c>
      <c r="G1336" s="54">
        <f t="shared" si="1008"/>
        <v>0</v>
      </c>
      <c r="H1336" s="54">
        <f t="shared" si="1008"/>
        <v>51813</v>
      </c>
      <c r="I1336" s="54">
        <f t="shared" si="1008"/>
        <v>0</v>
      </c>
      <c r="J1336" s="54">
        <f t="shared" si="1008"/>
        <v>51813</v>
      </c>
      <c r="K1336" s="54">
        <f t="shared" si="1008"/>
        <v>39204</v>
      </c>
      <c r="L1336" s="54">
        <f t="shared" si="1008"/>
        <v>52900</v>
      </c>
      <c r="M1336" s="335">
        <f t="shared" si="997"/>
        <v>2.0979290911547294E-2</v>
      </c>
      <c r="N1336" s="329">
        <f t="shared" si="967"/>
        <v>1087</v>
      </c>
    </row>
    <row r="1337" spans="1:14" ht="14.1" customHeight="1">
      <c r="A1337" s="32"/>
      <c r="B1337" s="38" t="s">
        <v>210</v>
      </c>
      <c r="C1337" s="39" t="s">
        <v>272</v>
      </c>
      <c r="D1337" s="52">
        <v>32246</v>
      </c>
      <c r="E1337" s="143">
        <v>34920</v>
      </c>
      <c r="F1337" s="226">
        <v>51813</v>
      </c>
      <c r="G1337" s="143"/>
      <c r="H1337" s="143">
        <f t="shared" ref="H1337" si="1009">+G1337+F1337</f>
        <v>51813</v>
      </c>
      <c r="I1337" s="143"/>
      <c r="J1337" s="143">
        <f t="shared" ref="J1337" si="1010">+I1337+H1337</f>
        <v>51813</v>
      </c>
      <c r="K1337" s="143">
        <v>39204</v>
      </c>
      <c r="L1337" s="225">
        <v>52900</v>
      </c>
      <c r="M1337" s="335">
        <f t="shared" si="997"/>
        <v>2.0979290911547294E-2</v>
      </c>
      <c r="N1337" s="329">
        <f t="shared" si="967"/>
        <v>1087</v>
      </c>
    </row>
    <row r="1338" spans="1:14" ht="14.1" customHeight="1">
      <c r="A1338" s="56" t="s">
        <v>654</v>
      </c>
      <c r="B1338" s="46"/>
      <c r="C1338" s="47" t="s">
        <v>655</v>
      </c>
      <c r="D1338" s="53">
        <v>875908</v>
      </c>
      <c r="E1338" s="54">
        <v>963444</v>
      </c>
      <c r="F1338" s="54">
        <f t="shared" ref="F1338" si="1011">+F1339+F1340</f>
        <v>1185929</v>
      </c>
      <c r="G1338" s="54">
        <f t="shared" ref="G1338:H1338" si="1012">+G1339+G1340</f>
        <v>35235</v>
      </c>
      <c r="H1338" s="54">
        <f t="shared" si="1012"/>
        <v>1221164</v>
      </c>
      <c r="I1338" s="54">
        <f t="shared" ref="I1338:J1338" si="1013">+I1339+I1340</f>
        <v>0</v>
      </c>
      <c r="J1338" s="54">
        <f t="shared" si="1013"/>
        <v>1221164</v>
      </c>
      <c r="K1338" s="54">
        <f t="shared" ref="K1338:L1338" si="1014">+K1339+K1340</f>
        <v>911560</v>
      </c>
      <c r="L1338" s="54">
        <f t="shared" si="1014"/>
        <v>1229600</v>
      </c>
      <c r="M1338" s="335">
        <f t="shared" si="997"/>
        <v>6.908163031337314E-3</v>
      </c>
      <c r="N1338" s="329">
        <f t="shared" si="967"/>
        <v>8436</v>
      </c>
    </row>
    <row r="1339" spans="1:14" ht="14.1" customHeight="1">
      <c r="A1339" s="32"/>
      <c r="B1339" s="38" t="s">
        <v>210</v>
      </c>
      <c r="C1339" s="39" t="s">
        <v>272</v>
      </c>
      <c r="D1339" s="51">
        <v>845927</v>
      </c>
      <c r="E1339" s="143">
        <v>924328</v>
      </c>
      <c r="F1339" s="226">
        <v>1145597</v>
      </c>
      <c r="G1339" s="256">
        <v>28990</v>
      </c>
      <c r="H1339" s="143">
        <f t="shared" ref="H1339:H1343" si="1015">+G1339+F1339</f>
        <v>1174587</v>
      </c>
      <c r="I1339" s="143"/>
      <c r="J1339" s="143">
        <f t="shared" ref="J1339" si="1016">+I1339+H1339</f>
        <v>1174587</v>
      </c>
      <c r="K1339" s="143">
        <v>865666</v>
      </c>
      <c r="L1339" s="225">
        <v>1183000</v>
      </c>
      <c r="M1339" s="335">
        <f t="shared" si="997"/>
        <v>7.1625175487213802E-3</v>
      </c>
      <c r="N1339" s="329">
        <f t="shared" si="967"/>
        <v>8413</v>
      </c>
    </row>
    <row r="1340" spans="1:14" ht="14.1" customHeight="1">
      <c r="A1340" s="32"/>
      <c r="B1340" s="38" t="s">
        <v>212</v>
      </c>
      <c r="C1340" s="39" t="s">
        <v>273</v>
      </c>
      <c r="D1340" s="51">
        <v>29981</v>
      </c>
      <c r="E1340" s="137">
        <v>39116</v>
      </c>
      <c r="F1340" s="137">
        <f t="shared" ref="F1340:H1340" si="1017">+F1341+F1342+F1343</f>
        <v>40332</v>
      </c>
      <c r="G1340" s="256">
        <f t="shared" si="1017"/>
        <v>6245</v>
      </c>
      <c r="H1340" s="137">
        <f t="shared" si="1017"/>
        <v>46577</v>
      </c>
      <c r="I1340" s="137">
        <f t="shared" ref="I1340:J1340" si="1018">+I1341+I1342+I1343</f>
        <v>0</v>
      </c>
      <c r="J1340" s="137">
        <f t="shared" si="1018"/>
        <v>46577</v>
      </c>
      <c r="K1340" s="137">
        <f t="shared" ref="K1340:L1340" si="1019">+K1341+K1342+K1343</f>
        <v>45894</v>
      </c>
      <c r="L1340" s="137">
        <f t="shared" si="1019"/>
        <v>46600</v>
      </c>
      <c r="M1340" s="335">
        <f t="shared" si="997"/>
        <v>4.9380595572922259E-4</v>
      </c>
      <c r="N1340" s="329">
        <f t="shared" si="967"/>
        <v>23</v>
      </c>
    </row>
    <row r="1341" spans="1:14" ht="14.1" customHeight="1">
      <c r="A1341" s="32"/>
      <c r="B1341" s="33" t="s">
        <v>217</v>
      </c>
      <c r="C1341" s="34" t="s">
        <v>230</v>
      </c>
      <c r="D1341" s="52">
        <v>6030</v>
      </c>
      <c r="E1341" s="17">
        <v>7792</v>
      </c>
      <c r="F1341" s="226">
        <v>6180</v>
      </c>
      <c r="G1341" s="17">
        <v>2200</v>
      </c>
      <c r="H1341" s="17">
        <f t="shared" si="1015"/>
        <v>8380</v>
      </c>
      <c r="I1341" s="17"/>
      <c r="J1341" s="17">
        <f t="shared" ref="J1341:J1343" si="1020">+I1341+H1341</f>
        <v>8380</v>
      </c>
      <c r="K1341" s="17">
        <v>7081</v>
      </c>
      <c r="L1341" s="226">
        <v>8400</v>
      </c>
      <c r="M1341" s="335">
        <f t="shared" si="997"/>
        <v>2.3866348448687352E-3</v>
      </c>
      <c r="N1341" s="329">
        <f t="shared" si="967"/>
        <v>20</v>
      </c>
    </row>
    <row r="1342" spans="1:14" ht="14.1" customHeight="1">
      <c r="A1342" s="32"/>
      <c r="B1342" s="33" t="s">
        <v>576</v>
      </c>
      <c r="C1342" s="34" t="s">
        <v>612</v>
      </c>
      <c r="D1342" s="52">
        <v>23951</v>
      </c>
      <c r="E1342" s="17">
        <v>27952</v>
      </c>
      <c r="F1342" s="226">
        <v>29355</v>
      </c>
      <c r="G1342" s="17">
        <v>3734</v>
      </c>
      <c r="H1342" s="17">
        <f t="shared" si="1015"/>
        <v>33089</v>
      </c>
      <c r="I1342" s="17"/>
      <c r="J1342" s="17">
        <f t="shared" si="1020"/>
        <v>33089</v>
      </c>
      <c r="K1342" s="17">
        <v>38813</v>
      </c>
      <c r="L1342" s="226">
        <v>33092</v>
      </c>
      <c r="M1342" s="335">
        <f t="shared" si="997"/>
        <v>9.0664571307685335E-5</v>
      </c>
      <c r="N1342" s="329">
        <f t="shared" si="967"/>
        <v>3</v>
      </c>
    </row>
    <row r="1343" spans="1:14" ht="14.1" customHeight="1">
      <c r="A1343" s="32"/>
      <c r="B1343" s="33">
        <v>5525</v>
      </c>
      <c r="C1343" s="34" t="s">
        <v>613</v>
      </c>
      <c r="D1343" s="52"/>
      <c r="E1343" s="17">
        <v>3372</v>
      </c>
      <c r="F1343" s="226">
        <v>4797</v>
      </c>
      <c r="G1343" s="17">
        <v>311</v>
      </c>
      <c r="H1343" s="17">
        <f t="shared" si="1015"/>
        <v>5108</v>
      </c>
      <c r="I1343" s="17"/>
      <c r="J1343" s="17">
        <f t="shared" si="1020"/>
        <v>5108</v>
      </c>
      <c r="K1343" s="17"/>
      <c r="L1343" s="226">
        <v>5108</v>
      </c>
      <c r="M1343" s="335">
        <f t="shared" si="997"/>
        <v>0</v>
      </c>
      <c r="N1343" s="329">
        <f t="shared" si="967"/>
        <v>0</v>
      </c>
    </row>
    <row r="1344" spans="1:14" ht="14.1" customHeight="1">
      <c r="A1344" s="56" t="s">
        <v>656</v>
      </c>
      <c r="B1344" s="46"/>
      <c r="C1344" s="47" t="s">
        <v>657</v>
      </c>
      <c r="D1344" s="53">
        <v>303089</v>
      </c>
      <c r="E1344" s="54">
        <v>324670</v>
      </c>
      <c r="F1344" s="54">
        <f t="shared" ref="F1344:L1344" si="1021">+F1345</f>
        <v>376038</v>
      </c>
      <c r="G1344" s="54">
        <f t="shared" si="1021"/>
        <v>1505</v>
      </c>
      <c r="H1344" s="54">
        <f t="shared" si="1021"/>
        <v>377543</v>
      </c>
      <c r="I1344" s="54">
        <f t="shared" si="1021"/>
        <v>0</v>
      </c>
      <c r="J1344" s="54">
        <f t="shared" si="1021"/>
        <v>377543</v>
      </c>
      <c r="K1344" s="54">
        <f t="shared" si="1021"/>
        <v>291592</v>
      </c>
      <c r="L1344" s="54">
        <f t="shared" si="1021"/>
        <v>345000</v>
      </c>
      <c r="M1344" s="335">
        <f t="shared" si="997"/>
        <v>-8.6196804072648681E-2</v>
      </c>
      <c r="N1344" s="329">
        <f t="shared" si="967"/>
        <v>-32543</v>
      </c>
    </row>
    <row r="1345" spans="1:14" ht="14.1" customHeight="1">
      <c r="A1345" s="32"/>
      <c r="B1345" s="38" t="s">
        <v>210</v>
      </c>
      <c r="C1345" s="39" t="s">
        <v>211</v>
      </c>
      <c r="D1345" s="52">
        <v>303089</v>
      </c>
      <c r="E1345" s="143">
        <v>324670</v>
      </c>
      <c r="F1345" s="226">
        <v>376038</v>
      </c>
      <c r="G1345" s="256">
        <v>1505</v>
      </c>
      <c r="H1345" s="143">
        <f t="shared" ref="H1345" si="1022">+G1345+F1345</f>
        <v>377543</v>
      </c>
      <c r="I1345" s="143"/>
      <c r="J1345" s="143">
        <f t="shared" ref="J1345" si="1023">+I1345+H1345</f>
        <v>377543</v>
      </c>
      <c r="K1345" s="143">
        <v>291592</v>
      </c>
      <c r="L1345" s="225">
        <v>345000</v>
      </c>
      <c r="M1345" s="335">
        <f t="shared" si="997"/>
        <v>-8.6196804072648681E-2</v>
      </c>
      <c r="N1345" s="329">
        <f t="shared" si="967"/>
        <v>-32543</v>
      </c>
    </row>
    <row r="1346" spans="1:14" ht="14.1" customHeight="1">
      <c r="A1346" s="45" t="s">
        <v>658</v>
      </c>
      <c r="B1346" s="46"/>
      <c r="C1346" s="47" t="s">
        <v>659</v>
      </c>
      <c r="D1346" s="53">
        <v>795336</v>
      </c>
      <c r="E1346" s="50">
        <v>775911</v>
      </c>
      <c r="F1346" s="50">
        <f>+F1347+F1348</f>
        <v>898385</v>
      </c>
      <c r="G1346" s="50">
        <f t="shared" ref="G1346:H1346" si="1024">+G1347+G1348</f>
        <v>-13560</v>
      </c>
      <c r="H1346" s="50">
        <f t="shared" si="1024"/>
        <v>884825</v>
      </c>
      <c r="I1346" s="50">
        <f t="shared" ref="I1346:J1346" si="1025">+I1347+I1348</f>
        <v>-20126</v>
      </c>
      <c r="J1346" s="50">
        <f t="shared" si="1025"/>
        <v>864699</v>
      </c>
      <c r="K1346" s="50">
        <f t="shared" ref="K1346" si="1026">+K1347+K1348</f>
        <v>653939</v>
      </c>
      <c r="L1346" s="50">
        <f>+L1347+L1348</f>
        <v>796300</v>
      </c>
      <c r="M1346" s="335">
        <f t="shared" si="997"/>
        <v>-7.9101513937219772E-2</v>
      </c>
      <c r="N1346" s="329">
        <f t="shared" si="967"/>
        <v>-68399</v>
      </c>
    </row>
    <row r="1347" spans="1:14" ht="14.1" customHeight="1">
      <c r="A1347" s="37"/>
      <c r="B1347" s="38" t="s">
        <v>210</v>
      </c>
      <c r="C1347" s="39" t="s">
        <v>211</v>
      </c>
      <c r="D1347" s="52">
        <v>434000</v>
      </c>
      <c r="E1347" s="143">
        <v>479488</v>
      </c>
      <c r="F1347" s="226">
        <v>541640</v>
      </c>
      <c r="G1347" s="256">
        <v>10290</v>
      </c>
      <c r="H1347" s="143">
        <f t="shared" ref="H1347" si="1027">+G1347+F1347</f>
        <v>551930</v>
      </c>
      <c r="I1347" s="143">
        <f>-25000+6000</f>
        <v>-19000</v>
      </c>
      <c r="J1347" s="143">
        <f t="shared" ref="J1347" si="1028">+I1347+H1347</f>
        <v>532930</v>
      </c>
      <c r="K1347" s="143">
        <v>400113</v>
      </c>
      <c r="L1347" s="225">
        <f>427300+6000</f>
        <v>433300</v>
      </c>
      <c r="M1347" s="335">
        <f t="shared" si="997"/>
        <v>-0.18694762914454055</v>
      </c>
      <c r="N1347" s="329">
        <f t="shared" si="967"/>
        <v>-99630</v>
      </c>
    </row>
    <row r="1348" spans="1:14" ht="14.1" customHeight="1">
      <c r="A1348" s="37"/>
      <c r="B1348" s="38" t="s">
        <v>212</v>
      </c>
      <c r="C1348" s="39" t="s">
        <v>213</v>
      </c>
      <c r="D1348" s="52">
        <v>361306</v>
      </c>
      <c r="E1348" s="137">
        <v>296423</v>
      </c>
      <c r="F1348" s="137">
        <f t="shared" ref="F1348:H1348" si="1029">+F1349+F1350+F1351+F1352+F1363+F1364+F1365+F1366+F1367+F1368+F1369+F1370+F1371+F1373</f>
        <v>356745</v>
      </c>
      <c r="G1348" s="137">
        <f t="shared" si="1029"/>
        <v>-23850</v>
      </c>
      <c r="H1348" s="137">
        <f t="shared" si="1029"/>
        <v>332895</v>
      </c>
      <c r="I1348" s="137">
        <f t="shared" ref="I1348:J1348" si="1030">+I1349+I1350+I1351+I1352+I1363+I1364+I1365+I1366+I1367+I1368+I1369+I1370+I1371+I1373</f>
        <v>-1126</v>
      </c>
      <c r="J1348" s="137">
        <f t="shared" si="1030"/>
        <v>331769</v>
      </c>
      <c r="K1348" s="137">
        <f t="shared" ref="K1348" si="1031">+K1349+K1350+K1351+K1352+K1363+K1364+K1365+K1366+K1367+K1368+K1369+K1370+K1371+K1373</f>
        <v>253826</v>
      </c>
      <c r="L1348" s="137">
        <f>+L1349+L1350+L1351+L1352+L1363+L1364+L1365+L1366+L1367+L1368+L1369+L1370+L1371+L1373+L1372</f>
        <v>363000</v>
      </c>
      <c r="M1348" s="335">
        <f t="shared" si="997"/>
        <v>9.4134774496713078E-2</v>
      </c>
      <c r="N1348" s="329">
        <f t="shared" si="967"/>
        <v>31231</v>
      </c>
    </row>
    <row r="1349" spans="1:14" ht="14.1" customHeight="1">
      <c r="A1349" s="32"/>
      <c r="B1349" s="33" t="s">
        <v>214</v>
      </c>
      <c r="C1349" s="34" t="s">
        <v>227</v>
      </c>
      <c r="D1349" s="52">
        <v>11800</v>
      </c>
      <c r="E1349" s="17">
        <v>16000</v>
      </c>
      <c r="F1349" s="226">
        <v>19000</v>
      </c>
      <c r="G1349" s="17"/>
      <c r="H1349" s="17">
        <f>+F1349+G1349</f>
        <v>19000</v>
      </c>
      <c r="I1349" s="17">
        <v>-1000</v>
      </c>
      <c r="J1349" s="17">
        <f>+H1349+I1349</f>
        <v>18000</v>
      </c>
      <c r="K1349" s="17">
        <v>13381</v>
      </c>
      <c r="L1349" s="226">
        <v>18700</v>
      </c>
      <c r="M1349" s="335">
        <f t="shared" si="997"/>
        <v>3.888888888888889E-2</v>
      </c>
      <c r="N1349" s="329">
        <f t="shared" si="967"/>
        <v>700</v>
      </c>
    </row>
    <row r="1350" spans="1:14" ht="14.1" customHeight="1">
      <c r="A1350" s="32"/>
      <c r="B1350" s="33" t="s">
        <v>229</v>
      </c>
      <c r="C1350" s="34" t="s">
        <v>216</v>
      </c>
      <c r="D1350" s="52">
        <v>1000</v>
      </c>
      <c r="E1350" s="17">
        <v>1900</v>
      </c>
      <c r="F1350" s="226">
        <v>1100</v>
      </c>
      <c r="G1350" s="17"/>
      <c r="H1350" s="17">
        <f t="shared" ref="H1350:H1351" si="1032">+F1350+G1350</f>
        <v>1100</v>
      </c>
      <c r="I1350" s="17">
        <v>-500</v>
      </c>
      <c r="J1350" s="17">
        <f t="shared" ref="J1350:J1351" si="1033">+H1350+I1350</f>
        <v>600</v>
      </c>
      <c r="K1350" s="17"/>
      <c r="L1350" s="226"/>
      <c r="M1350" s="335">
        <f t="shared" si="997"/>
        <v>-1</v>
      </c>
      <c r="N1350" s="329">
        <f t="shared" ref="N1350:N1413" si="1034">L1350-J1350</f>
        <v>-600</v>
      </c>
    </row>
    <row r="1351" spans="1:14" ht="14.1" customHeight="1">
      <c r="A1351" s="32"/>
      <c r="B1351" s="33" t="s">
        <v>217</v>
      </c>
      <c r="C1351" s="34" t="s">
        <v>230</v>
      </c>
      <c r="D1351" s="52">
        <v>3000</v>
      </c>
      <c r="E1351" s="17">
        <v>1288</v>
      </c>
      <c r="F1351" s="226">
        <v>3000</v>
      </c>
      <c r="G1351" s="17"/>
      <c r="H1351" s="17">
        <f t="shared" si="1032"/>
        <v>3000</v>
      </c>
      <c r="I1351" s="17"/>
      <c r="J1351" s="17">
        <f t="shared" si="1033"/>
        <v>3000</v>
      </c>
      <c r="K1351" s="17">
        <v>42</v>
      </c>
      <c r="L1351" s="226">
        <v>3600</v>
      </c>
      <c r="M1351" s="335">
        <f t="shared" si="997"/>
        <v>0.2</v>
      </c>
      <c r="N1351" s="329">
        <f t="shared" si="1034"/>
        <v>600</v>
      </c>
    </row>
    <row r="1352" spans="1:14" ht="14.1" customHeight="1">
      <c r="A1352" s="32"/>
      <c r="B1352" s="33" t="s">
        <v>231</v>
      </c>
      <c r="C1352" s="34" t="s">
        <v>219</v>
      </c>
      <c r="D1352" s="52">
        <v>139410</v>
      </c>
      <c r="E1352" s="95">
        <v>127710</v>
      </c>
      <c r="F1352" s="224">
        <f t="shared" ref="F1352" si="1035">SUM(F1353:F1362)</f>
        <v>186945</v>
      </c>
      <c r="G1352" s="17">
        <f t="shared" ref="G1352:H1352" si="1036">SUM(G1353:G1362)</f>
        <v>-34000</v>
      </c>
      <c r="H1352" s="95">
        <f t="shared" si="1036"/>
        <v>152945</v>
      </c>
      <c r="I1352" s="17">
        <f t="shared" ref="I1352:L1352" si="1037">SUM(I1353:I1362)</f>
        <v>0</v>
      </c>
      <c r="J1352" s="224">
        <f t="shared" si="1037"/>
        <v>152945</v>
      </c>
      <c r="K1352" s="224">
        <f t="shared" si="1037"/>
        <v>102228</v>
      </c>
      <c r="L1352" s="224">
        <f t="shared" si="1037"/>
        <v>176000</v>
      </c>
      <c r="M1352" s="335">
        <f t="shared" si="997"/>
        <v>0.15074046225767432</v>
      </c>
      <c r="N1352" s="329">
        <f t="shared" si="1034"/>
        <v>23055</v>
      </c>
    </row>
    <row r="1353" spans="1:14" s="150" customFormat="1" ht="14.1" customHeight="1">
      <c r="A1353" s="157"/>
      <c r="B1353" s="158"/>
      <c r="C1353" s="146" t="s">
        <v>407</v>
      </c>
      <c r="D1353" s="151">
        <v>60000</v>
      </c>
      <c r="E1353" s="147">
        <v>55000</v>
      </c>
      <c r="F1353" s="229">
        <v>90000</v>
      </c>
      <c r="G1353" s="147">
        <v>-30000</v>
      </c>
      <c r="H1353" s="147">
        <f t="shared" ref="H1353:H1361" si="1038">+F1353+G1353</f>
        <v>60000</v>
      </c>
      <c r="I1353" s="147"/>
      <c r="J1353" s="147">
        <f t="shared" ref="J1353:J1361" si="1039">+H1353+I1353</f>
        <v>60000</v>
      </c>
      <c r="K1353" s="147">
        <v>31237</v>
      </c>
      <c r="L1353" s="229">
        <v>70000</v>
      </c>
      <c r="M1353" s="335">
        <f t="shared" si="997"/>
        <v>0.16666666666666666</v>
      </c>
      <c r="N1353" s="329">
        <f t="shared" si="1034"/>
        <v>10000</v>
      </c>
    </row>
    <row r="1354" spans="1:14" s="150" customFormat="1" ht="14.1" customHeight="1">
      <c r="A1354" s="157"/>
      <c r="B1354" s="158"/>
      <c r="C1354" s="146" t="s">
        <v>408</v>
      </c>
      <c r="D1354" s="151">
        <v>25000</v>
      </c>
      <c r="E1354" s="147">
        <v>30000</v>
      </c>
      <c r="F1354" s="229">
        <v>45000</v>
      </c>
      <c r="G1354" s="147">
        <v>-2000</v>
      </c>
      <c r="H1354" s="147">
        <f t="shared" si="1038"/>
        <v>43000</v>
      </c>
      <c r="I1354" s="147"/>
      <c r="J1354" s="147">
        <f t="shared" si="1039"/>
        <v>43000</v>
      </c>
      <c r="K1354" s="147">
        <v>32818</v>
      </c>
      <c r="L1354" s="229">
        <v>50000</v>
      </c>
      <c r="M1354" s="335">
        <f t="shared" si="997"/>
        <v>0.16279069767441862</v>
      </c>
      <c r="N1354" s="329">
        <f t="shared" si="1034"/>
        <v>7000</v>
      </c>
    </row>
    <row r="1355" spans="1:14" s="150" customFormat="1" ht="14.1" customHeight="1">
      <c r="A1355" s="157"/>
      <c r="B1355" s="158"/>
      <c r="C1355" s="146" t="s">
        <v>409</v>
      </c>
      <c r="D1355" s="151">
        <v>7000</v>
      </c>
      <c r="E1355" s="147">
        <v>7000</v>
      </c>
      <c r="F1355" s="229">
        <v>7000</v>
      </c>
      <c r="G1355" s="147"/>
      <c r="H1355" s="147">
        <f t="shared" si="1038"/>
        <v>7000</v>
      </c>
      <c r="I1355" s="147">
        <v>-45</v>
      </c>
      <c r="J1355" s="147">
        <f t="shared" si="1039"/>
        <v>6955</v>
      </c>
      <c r="K1355" s="147">
        <v>3997</v>
      </c>
      <c r="L1355" s="229">
        <v>7000</v>
      </c>
      <c r="M1355" s="335">
        <f t="shared" si="997"/>
        <v>6.4701653486700216E-3</v>
      </c>
      <c r="N1355" s="329">
        <f t="shared" si="1034"/>
        <v>45</v>
      </c>
    </row>
    <row r="1356" spans="1:14" s="150" customFormat="1" ht="14.1" customHeight="1">
      <c r="A1356" s="157"/>
      <c r="B1356" s="158"/>
      <c r="C1356" s="146" t="s">
        <v>410</v>
      </c>
      <c r="D1356" s="151">
        <v>17000</v>
      </c>
      <c r="E1356" s="147">
        <v>17000</v>
      </c>
      <c r="F1356" s="229">
        <v>18000</v>
      </c>
      <c r="G1356" s="147">
        <v>1000</v>
      </c>
      <c r="H1356" s="147">
        <f t="shared" si="1038"/>
        <v>19000</v>
      </c>
      <c r="I1356" s="147"/>
      <c r="J1356" s="147">
        <f t="shared" si="1039"/>
        <v>19000</v>
      </c>
      <c r="K1356" s="147">
        <v>16500</v>
      </c>
      <c r="L1356" s="229">
        <v>20000</v>
      </c>
      <c r="M1356" s="335">
        <f t="shared" si="997"/>
        <v>5.2631578947368418E-2</v>
      </c>
      <c r="N1356" s="329">
        <f t="shared" si="1034"/>
        <v>1000</v>
      </c>
    </row>
    <row r="1357" spans="1:14" s="150" customFormat="1" ht="14.1" customHeight="1">
      <c r="A1357" s="157"/>
      <c r="B1357" s="158"/>
      <c r="C1357" s="146" t="s">
        <v>411</v>
      </c>
      <c r="D1357" s="151">
        <v>18000</v>
      </c>
      <c r="E1357" s="147">
        <v>11000</v>
      </c>
      <c r="F1357" s="229">
        <v>15000</v>
      </c>
      <c r="G1357" s="242">
        <v>-3000</v>
      </c>
      <c r="H1357" s="147">
        <f t="shared" si="1038"/>
        <v>12000</v>
      </c>
      <c r="I1357" s="147"/>
      <c r="J1357" s="147">
        <f t="shared" si="1039"/>
        <v>12000</v>
      </c>
      <c r="K1357" s="147">
        <v>9854</v>
      </c>
      <c r="L1357" s="229">
        <v>13000</v>
      </c>
      <c r="M1357" s="335">
        <f t="shared" si="997"/>
        <v>8.3333333333333329E-2</v>
      </c>
      <c r="N1357" s="329">
        <f t="shared" si="1034"/>
        <v>1000</v>
      </c>
    </row>
    <row r="1358" spans="1:14" s="150" customFormat="1" ht="14.1" customHeight="1">
      <c r="A1358" s="157"/>
      <c r="B1358" s="158"/>
      <c r="C1358" s="146" t="s">
        <v>412</v>
      </c>
      <c r="D1358" s="151">
        <v>2500</v>
      </c>
      <c r="E1358" s="147">
        <v>2500</v>
      </c>
      <c r="F1358" s="229">
        <v>6000</v>
      </c>
      <c r="G1358" s="147"/>
      <c r="H1358" s="147">
        <f t="shared" si="1038"/>
        <v>6000</v>
      </c>
      <c r="I1358" s="147"/>
      <c r="J1358" s="147">
        <f t="shared" si="1039"/>
        <v>6000</v>
      </c>
      <c r="K1358" s="147">
        <v>2294</v>
      </c>
      <c r="L1358" s="229">
        <v>6500</v>
      </c>
      <c r="M1358" s="335">
        <f t="shared" si="997"/>
        <v>8.3333333333333329E-2</v>
      </c>
      <c r="N1358" s="329">
        <f t="shared" si="1034"/>
        <v>500</v>
      </c>
    </row>
    <row r="1359" spans="1:14" s="150" customFormat="1" ht="14.1" customHeight="1">
      <c r="A1359" s="157"/>
      <c r="B1359" s="158"/>
      <c r="C1359" s="146" t="s">
        <v>414</v>
      </c>
      <c r="D1359" s="151">
        <v>7000</v>
      </c>
      <c r="E1359" s="147">
        <v>2000</v>
      </c>
      <c r="F1359" s="229">
        <v>2000</v>
      </c>
      <c r="G1359" s="147"/>
      <c r="H1359" s="147">
        <f t="shared" si="1038"/>
        <v>2000</v>
      </c>
      <c r="I1359" s="147"/>
      <c r="J1359" s="147">
        <f t="shared" si="1039"/>
        <v>2000</v>
      </c>
      <c r="K1359" s="147">
        <v>1653</v>
      </c>
      <c r="L1359" s="229">
        <v>5000</v>
      </c>
      <c r="M1359" s="335">
        <f t="shared" si="997"/>
        <v>1.5</v>
      </c>
      <c r="N1359" s="329">
        <f t="shared" si="1034"/>
        <v>3000</v>
      </c>
    </row>
    <row r="1360" spans="1:14" s="150" customFormat="1" ht="14.1" customHeight="1">
      <c r="A1360" s="157"/>
      <c r="B1360" s="158"/>
      <c r="C1360" s="146" t="s">
        <v>415</v>
      </c>
      <c r="D1360" s="151">
        <v>710</v>
      </c>
      <c r="E1360" s="147">
        <v>710</v>
      </c>
      <c r="F1360" s="229">
        <v>1445</v>
      </c>
      <c r="G1360" s="147"/>
      <c r="H1360" s="147">
        <f t="shared" si="1038"/>
        <v>1445</v>
      </c>
      <c r="I1360" s="147">
        <v>45</v>
      </c>
      <c r="J1360" s="147">
        <f t="shared" si="1039"/>
        <v>1490</v>
      </c>
      <c r="K1360" s="147">
        <v>1490</v>
      </c>
      <c r="L1360" s="229">
        <v>1500</v>
      </c>
      <c r="M1360" s="335">
        <f t="shared" si="997"/>
        <v>6.7114093959731542E-3</v>
      </c>
      <c r="N1360" s="329">
        <f t="shared" si="1034"/>
        <v>10</v>
      </c>
    </row>
    <row r="1361" spans="1:14" s="150" customFormat="1" ht="14.1" customHeight="1">
      <c r="A1361" s="157"/>
      <c r="B1361" s="158"/>
      <c r="C1361" s="146" t="s">
        <v>660</v>
      </c>
      <c r="D1361" s="151">
        <v>1700</v>
      </c>
      <c r="E1361" s="147">
        <v>2000</v>
      </c>
      <c r="F1361" s="229">
        <v>1500</v>
      </c>
      <c r="G1361" s="147"/>
      <c r="H1361" s="147">
        <f t="shared" si="1038"/>
        <v>1500</v>
      </c>
      <c r="I1361" s="147"/>
      <c r="J1361" s="147">
        <f t="shared" si="1039"/>
        <v>1500</v>
      </c>
      <c r="K1361" s="147">
        <v>1080</v>
      </c>
      <c r="L1361" s="229">
        <v>1500</v>
      </c>
      <c r="M1361" s="335">
        <f t="shared" si="997"/>
        <v>0</v>
      </c>
      <c r="N1361" s="329">
        <f t="shared" si="1034"/>
        <v>0</v>
      </c>
    </row>
    <row r="1362" spans="1:14" s="150" customFormat="1" ht="14.1" customHeight="1">
      <c r="A1362" s="157"/>
      <c r="B1362" s="158"/>
      <c r="C1362" s="146" t="s">
        <v>661</v>
      </c>
      <c r="D1362" s="151">
        <v>500</v>
      </c>
      <c r="E1362" s="147">
        <v>500</v>
      </c>
      <c r="F1362" s="229">
        <v>1000</v>
      </c>
      <c r="G1362" s="147"/>
      <c r="H1362" s="147">
        <f>+F1362+G1362</f>
        <v>1000</v>
      </c>
      <c r="I1362" s="147"/>
      <c r="J1362" s="147">
        <f>+H1362+I1362</f>
        <v>1000</v>
      </c>
      <c r="K1362" s="147">
        <v>1305</v>
      </c>
      <c r="L1362" s="229">
        <v>1500</v>
      </c>
      <c r="M1362" s="335">
        <f t="shared" si="997"/>
        <v>0.5</v>
      </c>
      <c r="N1362" s="329">
        <f t="shared" si="1034"/>
        <v>500</v>
      </c>
    </row>
    <row r="1363" spans="1:14" ht="14.1" customHeight="1">
      <c r="A1363" s="32"/>
      <c r="B1363" s="33" t="s">
        <v>253</v>
      </c>
      <c r="C1363" s="34" t="s">
        <v>254</v>
      </c>
      <c r="D1363" s="52">
        <v>14536</v>
      </c>
      <c r="E1363" s="17">
        <v>12000</v>
      </c>
      <c r="F1363" s="226">
        <v>10300</v>
      </c>
      <c r="G1363" s="17">
        <v>1700</v>
      </c>
      <c r="H1363" s="17">
        <f t="shared" ref="H1363:H1373" si="1040">+G1363+F1363</f>
        <v>12000</v>
      </c>
      <c r="I1363" s="17">
        <v>-2000</v>
      </c>
      <c r="J1363" s="17">
        <f t="shared" ref="J1363:J1373" si="1041">+I1363+H1363</f>
        <v>10000</v>
      </c>
      <c r="K1363" s="17">
        <v>6436</v>
      </c>
      <c r="L1363" s="226">
        <v>13000</v>
      </c>
      <c r="M1363" s="335">
        <f t="shared" si="997"/>
        <v>0.3</v>
      </c>
      <c r="N1363" s="329">
        <f t="shared" si="1034"/>
        <v>3000</v>
      </c>
    </row>
    <row r="1364" spans="1:14" ht="14.1" customHeight="1">
      <c r="A1364" s="32"/>
      <c r="B1364" s="33" t="s">
        <v>255</v>
      </c>
      <c r="C1364" s="34" t="s">
        <v>221</v>
      </c>
      <c r="D1364" s="52">
        <v>42571</v>
      </c>
      <c r="E1364" s="17">
        <v>44000</v>
      </c>
      <c r="F1364" s="226">
        <v>44000</v>
      </c>
      <c r="G1364" s="17"/>
      <c r="H1364" s="17">
        <f t="shared" si="1040"/>
        <v>44000</v>
      </c>
      <c r="I1364" s="17"/>
      <c r="J1364" s="17">
        <f t="shared" si="1041"/>
        <v>44000</v>
      </c>
      <c r="K1364" s="17">
        <v>40479</v>
      </c>
      <c r="L1364" s="226">
        <v>40000</v>
      </c>
      <c r="M1364" s="335">
        <f t="shared" si="997"/>
        <v>-9.0909090909090912E-2</v>
      </c>
      <c r="N1364" s="329">
        <f t="shared" si="1034"/>
        <v>-4000</v>
      </c>
    </row>
    <row r="1365" spans="1:14" ht="14.1" customHeight="1">
      <c r="A1365" s="32"/>
      <c r="B1365" s="33" t="s">
        <v>256</v>
      </c>
      <c r="C1365" s="34" t="s">
        <v>257</v>
      </c>
      <c r="D1365" s="52">
        <v>37042</v>
      </c>
      <c r="E1365" s="17">
        <v>28324</v>
      </c>
      <c r="F1365" s="226">
        <v>20000</v>
      </c>
      <c r="G1365" s="17">
        <v>-4000</v>
      </c>
      <c r="H1365" s="17">
        <f t="shared" si="1040"/>
        <v>16000</v>
      </c>
      <c r="I1365" s="17"/>
      <c r="J1365" s="17">
        <f t="shared" si="1041"/>
        <v>16000</v>
      </c>
      <c r="K1365" s="17">
        <v>12377</v>
      </c>
      <c r="L1365" s="226">
        <v>16000</v>
      </c>
      <c r="M1365" s="335">
        <f t="shared" si="997"/>
        <v>0</v>
      </c>
      <c r="N1365" s="329">
        <f t="shared" si="1034"/>
        <v>0</v>
      </c>
    </row>
    <row r="1366" spans="1:14" ht="14.1" customHeight="1">
      <c r="A1366" s="32"/>
      <c r="B1366" s="33" t="s">
        <v>258</v>
      </c>
      <c r="C1366" s="34" t="s">
        <v>662</v>
      </c>
      <c r="D1366" s="52">
        <v>2500</v>
      </c>
      <c r="E1366" s="17">
        <v>3500</v>
      </c>
      <c r="F1366" s="226">
        <v>4000</v>
      </c>
      <c r="G1366" s="17"/>
      <c r="H1366" s="17">
        <f t="shared" si="1040"/>
        <v>4000</v>
      </c>
      <c r="I1366" s="17"/>
      <c r="J1366" s="17">
        <f t="shared" si="1041"/>
        <v>4000</v>
      </c>
      <c r="K1366" s="17">
        <v>5310</v>
      </c>
      <c r="L1366" s="226">
        <v>6000</v>
      </c>
      <c r="M1366" s="335">
        <f t="shared" si="997"/>
        <v>0.5</v>
      </c>
      <c r="N1366" s="329">
        <f t="shared" si="1034"/>
        <v>2000</v>
      </c>
    </row>
    <row r="1367" spans="1:14" ht="14.1" customHeight="1">
      <c r="A1367" s="32"/>
      <c r="B1367" s="33">
        <v>5521</v>
      </c>
      <c r="C1367" s="34" t="s">
        <v>418</v>
      </c>
      <c r="D1367" s="52">
        <v>0</v>
      </c>
      <c r="E1367" s="17">
        <v>2420</v>
      </c>
      <c r="F1367" s="226">
        <v>0</v>
      </c>
      <c r="G1367" s="17"/>
      <c r="H1367" s="17">
        <f t="shared" si="1040"/>
        <v>0</v>
      </c>
      <c r="I1367" s="17"/>
      <c r="J1367" s="17">
        <f t="shared" si="1041"/>
        <v>0</v>
      </c>
      <c r="K1367" s="17"/>
      <c r="L1367" s="226"/>
      <c r="M1367" s="335" t="e">
        <f t="shared" si="997"/>
        <v>#DIV/0!</v>
      </c>
      <c r="N1367" s="329">
        <f t="shared" si="1034"/>
        <v>0</v>
      </c>
    </row>
    <row r="1368" spans="1:14" ht="14.1" customHeight="1">
      <c r="A1368" s="32"/>
      <c r="B1368" s="33" t="s">
        <v>261</v>
      </c>
      <c r="C1368" s="34" t="s">
        <v>262</v>
      </c>
      <c r="D1368" s="52">
        <v>1200</v>
      </c>
      <c r="E1368" s="17">
        <v>800</v>
      </c>
      <c r="F1368" s="226">
        <v>1400</v>
      </c>
      <c r="G1368" s="17"/>
      <c r="H1368" s="17">
        <f t="shared" si="1040"/>
        <v>1400</v>
      </c>
      <c r="I1368" s="17"/>
      <c r="J1368" s="17">
        <f t="shared" si="1041"/>
        <v>1400</v>
      </c>
      <c r="K1368" s="17">
        <v>1248</v>
      </c>
      <c r="L1368" s="226">
        <v>1500</v>
      </c>
      <c r="M1368" s="335">
        <f t="shared" si="997"/>
        <v>7.1428571428571425E-2</v>
      </c>
      <c r="N1368" s="329">
        <f t="shared" si="1034"/>
        <v>100</v>
      </c>
    </row>
    <row r="1369" spans="1:14" ht="14.1" customHeight="1">
      <c r="A1369" s="32"/>
      <c r="B1369" s="33" t="s">
        <v>483</v>
      </c>
      <c r="C1369" s="34" t="s">
        <v>484</v>
      </c>
      <c r="D1369" s="52">
        <v>700</v>
      </c>
      <c r="E1369" s="17">
        <v>700</v>
      </c>
      <c r="F1369" s="226">
        <v>700</v>
      </c>
      <c r="G1369" s="17"/>
      <c r="H1369" s="17">
        <f t="shared" si="1040"/>
        <v>700</v>
      </c>
      <c r="I1369" s="17"/>
      <c r="J1369" s="17">
        <f>+I1369+H1369</f>
        <v>700</v>
      </c>
      <c r="K1369" s="17">
        <v>376</v>
      </c>
      <c r="L1369" s="226">
        <v>700</v>
      </c>
      <c r="M1369" s="335">
        <f t="shared" si="997"/>
        <v>0</v>
      </c>
      <c r="N1369" s="329">
        <f t="shared" si="1034"/>
        <v>0</v>
      </c>
    </row>
    <row r="1370" spans="1:14" ht="14.1" customHeight="1">
      <c r="A1370" s="32"/>
      <c r="B1370" s="33" t="s">
        <v>576</v>
      </c>
      <c r="C1370" s="34" t="s">
        <v>432</v>
      </c>
      <c r="D1370" s="52">
        <v>56543</v>
      </c>
      <c r="E1370" s="17">
        <v>23340</v>
      </c>
      <c r="F1370" s="226">
        <v>35000</v>
      </c>
      <c r="G1370" s="194">
        <v>6000</v>
      </c>
      <c r="H1370" s="17">
        <f t="shared" si="1040"/>
        <v>41000</v>
      </c>
      <c r="I1370" s="255">
        <f>1974+400</f>
        <v>2374</v>
      </c>
      <c r="J1370" s="17">
        <f t="shared" si="1041"/>
        <v>43374</v>
      </c>
      <c r="K1370" s="17">
        <v>37045</v>
      </c>
      <c r="L1370" s="226">
        <v>45000</v>
      </c>
      <c r="M1370" s="335">
        <f t="shared" si="997"/>
        <v>3.7487895974546964E-2</v>
      </c>
      <c r="N1370" s="329">
        <f t="shared" si="1034"/>
        <v>1626</v>
      </c>
    </row>
    <row r="1371" spans="1:14" ht="14.1" customHeight="1">
      <c r="A1371" s="32"/>
      <c r="B1371" s="33" t="s">
        <v>263</v>
      </c>
      <c r="C1371" s="34" t="s">
        <v>264</v>
      </c>
      <c r="D1371" s="52">
        <v>16160</v>
      </c>
      <c r="E1371" s="17">
        <v>14451</v>
      </c>
      <c r="F1371" s="226">
        <v>12000</v>
      </c>
      <c r="G1371" s="17">
        <v>4000</v>
      </c>
      <c r="H1371" s="17">
        <f t="shared" si="1040"/>
        <v>16000</v>
      </c>
      <c r="I1371" s="17"/>
      <c r="J1371" s="17">
        <f t="shared" si="1041"/>
        <v>16000</v>
      </c>
      <c r="K1371" s="17">
        <v>16564</v>
      </c>
      <c r="L1371" s="226">
        <v>20000</v>
      </c>
      <c r="M1371" s="335">
        <f t="shared" si="997"/>
        <v>0.25</v>
      </c>
      <c r="N1371" s="329">
        <f t="shared" si="1034"/>
        <v>4000</v>
      </c>
    </row>
    <row r="1372" spans="1:14" ht="14.1" customHeight="1">
      <c r="A1372" s="32"/>
      <c r="B1372" s="33">
        <v>5532</v>
      </c>
      <c r="C1372" s="34" t="s">
        <v>595</v>
      </c>
      <c r="D1372" s="52"/>
      <c r="E1372" s="17"/>
      <c r="F1372" s="226"/>
      <c r="G1372" s="17"/>
      <c r="H1372" s="17"/>
      <c r="I1372" s="17"/>
      <c r="J1372" s="17"/>
      <c r="K1372" s="17"/>
      <c r="L1372" s="226">
        <v>500</v>
      </c>
      <c r="M1372" s="335"/>
      <c r="N1372" s="329">
        <f t="shared" si="1034"/>
        <v>500</v>
      </c>
    </row>
    <row r="1373" spans="1:14" ht="14.1" customHeight="1">
      <c r="A1373" s="32"/>
      <c r="B1373" s="33" t="s">
        <v>305</v>
      </c>
      <c r="C1373" s="34" t="s">
        <v>348</v>
      </c>
      <c r="D1373" s="52">
        <v>34844</v>
      </c>
      <c r="E1373" s="17">
        <v>19990</v>
      </c>
      <c r="F1373" s="226">
        <v>19300</v>
      </c>
      <c r="G1373" s="194">
        <v>2450</v>
      </c>
      <c r="H1373" s="17">
        <f t="shared" si="1040"/>
        <v>21750</v>
      </c>
      <c r="I1373" s="17"/>
      <c r="J1373" s="17">
        <f t="shared" si="1041"/>
        <v>21750</v>
      </c>
      <c r="K1373" s="17">
        <v>18340</v>
      </c>
      <c r="L1373" s="226">
        <v>22000</v>
      </c>
      <c r="M1373" s="335">
        <f t="shared" si="997"/>
        <v>1.1494252873563218E-2</v>
      </c>
      <c r="N1373" s="329">
        <f t="shared" si="1034"/>
        <v>250</v>
      </c>
    </row>
    <row r="1374" spans="1:14" ht="14.1" hidden="1" customHeight="1">
      <c r="A1374" s="32"/>
      <c r="B1374" s="33">
        <v>6</v>
      </c>
      <c r="C1374" s="34" t="s">
        <v>663</v>
      </c>
      <c r="D1374" s="52">
        <v>30</v>
      </c>
      <c r="H1374" s="17"/>
      <c r="J1374" s="17"/>
      <c r="M1374" s="335" t="e">
        <f t="shared" si="997"/>
        <v>#DIV/0!</v>
      </c>
      <c r="N1374" s="329">
        <f t="shared" si="1034"/>
        <v>0</v>
      </c>
    </row>
    <row r="1375" spans="1:14" ht="14.1" customHeight="1">
      <c r="A1375" s="56" t="s">
        <v>664</v>
      </c>
      <c r="B1375" s="46"/>
      <c r="C1375" s="47" t="s">
        <v>665</v>
      </c>
      <c r="D1375" s="53">
        <v>69362</v>
      </c>
      <c r="E1375" s="54">
        <v>76463</v>
      </c>
      <c r="F1375" s="54">
        <f t="shared" ref="F1375:L1375" si="1042">+F1376</f>
        <v>86718</v>
      </c>
      <c r="G1375" s="54">
        <f t="shared" si="1042"/>
        <v>0</v>
      </c>
      <c r="H1375" s="54">
        <f t="shared" si="1042"/>
        <v>86718</v>
      </c>
      <c r="I1375" s="54">
        <f t="shared" si="1042"/>
        <v>0</v>
      </c>
      <c r="J1375" s="54">
        <f t="shared" si="1042"/>
        <v>86718</v>
      </c>
      <c r="K1375" s="54">
        <f t="shared" si="1042"/>
        <v>65332</v>
      </c>
      <c r="L1375" s="54">
        <f t="shared" si="1042"/>
        <v>128500</v>
      </c>
      <c r="M1375" s="335">
        <f t="shared" si="997"/>
        <v>0.48181461749579096</v>
      </c>
      <c r="N1375" s="329">
        <f t="shared" si="1034"/>
        <v>41782</v>
      </c>
    </row>
    <row r="1376" spans="1:14" ht="14.1" customHeight="1">
      <c r="A1376" s="32"/>
      <c r="B1376" s="38" t="s">
        <v>210</v>
      </c>
      <c r="C1376" s="39" t="s">
        <v>211</v>
      </c>
      <c r="D1376" s="52">
        <v>69362</v>
      </c>
      <c r="E1376" s="143">
        <v>76463</v>
      </c>
      <c r="F1376" s="226">
        <v>86718</v>
      </c>
      <c r="G1376" s="143"/>
      <c r="H1376" s="143">
        <f t="shared" ref="H1376" si="1043">+G1376+F1376</f>
        <v>86718</v>
      </c>
      <c r="I1376" s="143"/>
      <c r="J1376" s="143">
        <f t="shared" ref="J1376" si="1044">+I1376+H1376</f>
        <v>86718</v>
      </c>
      <c r="K1376" s="143">
        <v>65332</v>
      </c>
      <c r="L1376" s="225">
        <v>128500</v>
      </c>
      <c r="M1376" s="335">
        <f t="shared" si="997"/>
        <v>0.48181461749579096</v>
      </c>
      <c r="N1376" s="329">
        <f t="shared" si="1034"/>
        <v>41782</v>
      </c>
    </row>
    <row r="1377" spans="1:14" ht="14.1" customHeight="1">
      <c r="A1377" s="45" t="s">
        <v>666</v>
      </c>
      <c r="B1377" s="46"/>
      <c r="C1377" s="47" t="s">
        <v>667</v>
      </c>
      <c r="D1377" s="53">
        <v>0</v>
      </c>
      <c r="E1377" s="54">
        <v>17000</v>
      </c>
      <c r="F1377" s="54">
        <f t="shared" ref="F1377:L1377" si="1045">+F1378</f>
        <v>100000</v>
      </c>
      <c r="G1377" s="54">
        <f t="shared" si="1045"/>
        <v>0</v>
      </c>
      <c r="H1377" s="54">
        <f t="shared" si="1045"/>
        <v>100000</v>
      </c>
      <c r="I1377" s="54">
        <f t="shared" si="1045"/>
        <v>0</v>
      </c>
      <c r="J1377" s="54">
        <f t="shared" si="1045"/>
        <v>100000</v>
      </c>
      <c r="K1377" s="54">
        <f t="shared" si="1045"/>
        <v>68931</v>
      </c>
      <c r="L1377" s="54">
        <f t="shared" si="1045"/>
        <v>100000</v>
      </c>
      <c r="M1377" s="335">
        <f t="shared" si="997"/>
        <v>0</v>
      </c>
      <c r="N1377" s="329">
        <f t="shared" si="1034"/>
        <v>0</v>
      </c>
    </row>
    <row r="1378" spans="1:14" ht="14.1" customHeight="1">
      <c r="A1378" s="32"/>
      <c r="B1378" s="38">
        <v>55</v>
      </c>
      <c r="C1378" s="39" t="s">
        <v>213</v>
      </c>
      <c r="D1378" s="52"/>
      <c r="E1378" s="137">
        <v>17000</v>
      </c>
      <c r="F1378" s="137">
        <v>100000</v>
      </c>
      <c r="G1378" s="137"/>
      <c r="H1378" s="137">
        <f t="shared" ref="H1378:I1378" si="1046">H1383+H1384+H1385+H1386+H1379+H1380</f>
        <v>100000</v>
      </c>
      <c r="I1378" s="137">
        <f t="shared" si="1046"/>
        <v>0</v>
      </c>
      <c r="J1378" s="137">
        <f>SUM(J1379:J1386)</f>
        <v>100000</v>
      </c>
      <c r="K1378" s="137">
        <f t="shared" ref="K1378:L1378" si="1047">SUM(K1379:K1386)</f>
        <v>68931</v>
      </c>
      <c r="L1378" s="137">
        <f t="shared" si="1047"/>
        <v>100000</v>
      </c>
      <c r="M1378" s="335">
        <f t="shared" si="997"/>
        <v>0</v>
      </c>
      <c r="N1378" s="329">
        <f t="shared" si="1034"/>
        <v>0</v>
      </c>
    </row>
    <row r="1379" spans="1:14" ht="14.1" customHeight="1">
      <c r="A1379" s="32"/>
      <c r="B1379" s="33" t="s">
        <v>214</v>
      </c>
      <c r="C1379" s="34" t="s">
        <v>227</v>
      </c>
      <c r="D1379" s="52"/>
      <c r="E1379" s="137"/>
      <c r="F1379" s="137"/>
      <c r="G1379" s="137"/>
      <c r="H1379" s="17"/>
      <c r="I1379" s="17"/>
      <c r="J1379" s="17">
        <f>+I1379+H1379</f>
        <v>0</v>
      </c>
      <c r="K1379" s="17">
        <v>20</v>
      </c>
      <c r="L1379" s="295"/>
      <c r="M1379" s="335" t="e">
        <f t="shared" si="997"/>
        <v>#DIV/0!</v>
      </c>
      <c r="N1379" s="329">
        <f t="shared" si="1034"/>
        <v>0</v>
      </c>
    </row>
    <row r="1380" spans="1:14" ht="14.1" customHeight="1">
      <c r="A1380" s="32"/>
      <c r="B1380" s="33" t="s">
        <v>217</v>
      </c>
      <c r="C1380" s="34" t="s">
        <v>230</v>
      </c>
      <c r="D1380" s="52"/>
      <c r="E1380" s="137"/>
      <c r="F1380" s="137"/>
      <c r="G1380" s="137"/>
      <c r="H1380" s="17"/>
      <c r="I1380" s="17"/>
      <c r="J1380" s="17">
        <f t="shared" ref="J1380:J1386" si="1048">+I1380+H1380</f>
        <v>0</v>
      </c>
      <c r="K1380" s="17">
        <v>6375</v>
      </c>
      <c r="L1380" s="295"/>
      <c r="M1380" s="335" t="e">
        <f t="shared" si="997"/>
        <v>#DIV/0!</v>
      </c>
      <c r="N1380" s="329">
        <f t="shared" si="1034"/>
        <v>0</v>
      </c>
    </row>
    <row r="1381" spans="1:14" ht="14.1" customHeight="1">
      <c r="A1381" s="32"/>
      <c r="B1381" s="33">
        <v>5511</v>
      </c>
      <c r="C1381" s="34" t="s">
        <v>219</v>
      </c>
      <c r="D1381" s="52"/>
      <c r="E1381" s="137"/>
      <c r="F1381" s="137"/>
      <c r="G1381" s="137"/>
      <c r="H1381" s="17"/>
      <c r="I1381" s="17"/>
      <c r="J1381" s="17"/>
      <c r="K1381" s="17">
        <v>41</v>
      </c>
      <c r="L1381" s="295"/>
      <c r="M1381" s="335"/>
      <c r="N1381" s="329">
        <f t="shared" si="1034"/>
        <v>0</v>
      </c>
    </row>
    <row r="1382" spans="1:14" ht="14.1" customHeight="1">
      <c r="A1382" s="32"/>
      <c r="B1382" s="33">
        <v>5514</v>
      </c>
      <c r="C1382" s="34" t="s">
        <v>221</v>
      </c>
      <c r="D1382" s="52"/>
      <c r="E1382" s="137"/>
      <c r="F1382" s="137"/>
      <c r="G1382" s="137"/>
      <c r="H1382" s="17"/>
      <c r="I1382" s="17"/>
      <c r="J1382" s="17"/>
      <c r="K1382" s="17">
        <v>1000</v>
      </c>
      <c r="L1382" s="295"/>
      <c r="M1382" s="335"/>
      <c r="N1382" s="329">
        <f t="shared" si="1034"/>
        <v>0</v>
      </c>
    </row>
    <row r="1383" spans="1:14" ht="14.1" customHeight="1">
      <c r="A1383" s="32"/>
      <c r="B1383" s="33" t="s">
        <v>256</v>
      </c>
      <c r="C1383" s="34" t="s">
        <v>257</v>
      </c>
      <c r="D1383" s="52"/>
      <c r="E1383" s="17"/>
      <c r="F1383" s="17"/>
      <c r="G1383" s="17"/>
      <c r="H1383" s="17">
        <v>20000</v>
      </c>
      <c r="I1383" s="17"/>
      <c r="J1383" s="17">
        <f t="shared" si="1048"/>
        <v>20000</v>
      </c>
      <c r="K1383" s="17">
        <v>14524</v>
      </c>
      <c r="L1383" s="295">
        <v>20000</v>
      </c>
      <c r="M1383" s="335">
        <f t="shared" si="997"/>
        <v>0</v>
      </c>
      <c r="N1383" s="329">
        <f t="shared" si="1034"/>
        <v>0</v>
      </c>
    </row>
    <row r="1384" spans="1:14" ht="14.1" customHeight="1">
      <c r="A1384" s="32"/>
      <c r="B1384" s="33" t="s">
        <v>576</v>
      </c>
      <c r="C1384" s="34" t="s">
        <v>668</v>
      </c>
      <c r="D1384" s="52"/>
      <c r="E1384" s="17"/>
      <c r="F1384" s="17"/>
      <c r="G1384" s="17"/>
      <c r="H1384" s="17">
        <v>50000</v>
      </c>
      <c r="I1384" s="17"/>
      <c r="J1384" s="17">
        <f t="shared" si="1048"/>
        <v>50000</v>
      </c>
      <c r="K1384" s="17">
        <v>7259</v>
      </c>
      <c r="L1384" s="295">
        <v>50000</v>
      </c>
      <c r="M1384" s="335">
        <f t="shared" si="997"/>
        <v>0</v>
      </c>
      <c r="N1384" s="329">
        <f t="shared" si="1034"/>
        <v>0</v>
      </c>
    </row>
    <row r="1385" spans="1:14" ht="14.1" customHeight="1">
      <c r="A1385" s="32"/>
      <c r="B1385" s="33" t="s">
        <v>263</v>
      </c>
      <c r="C1385" s="34" t="s">
        <v>264</v>
      </c>
      <c r="D1385" s="52"/>
      <c r="E1385" s="17"/>
      <c r="F1385" s="17"/>
      <c r="G1385" s="17"/>
      <c r="H1385" s="17">
        <v>20000</v>
      </c>
      <c r="I1385" s="17"/>
      <c r="J1385" s="17">
        <f t="shared" si="1048"/>
        <v>20000</v>
      </c>
      <c r="K1385" s="17">
        <v>30750</v>
      </c>
      <c r="L1385" s="295">
        <v>20000</v>
      </c>
      <c r="M1385" s="335">
        <f t="shared" si="997"/>
        <v>0</v>
      </c>
      <c r="N1385" s="329">
        <f t="shared" si="1034"/>
        <v>0</v>
      </c>
    </row>
    <row r="1386" spans="1:14" ht="14.1" customHeight="1">
      <c r="A1386" s="32"/>
      <c r="B1386" s="33" t="s">
        <v>305</v>
      </c>
      <c r="C1386" s="34" t="s">
        <v>265</v>
      </c>
      <c r="D1386" s="52"/>
      <c r="E1386" s="17"/>
      <c r="F1386" s="17"/>
      <c r="G1386" s="17"/>
      <c r="H1386" s="17">
        <v>10000</v>
      </c>
      <c r="I1386" s="17"/>
      <c r="J1386" s="17">
        <f t="shared" si="1048"/>
        <v>10000</v>
      </c>
      <c r="K1386" s="17">
        <v>8962</v>
      </c>
      <c r="L1386" s="295">
        <v>10000</v>
      </c>
      <c r="M1386" s="335">
        <f t="shared" si="997"/>
        <v>0</v>
      </c>
      <c r="N1386" s="329">
        <f t="shared" si="1034"/>
        <v>0</v>
      </c>
    </row>
    <row r="1387" spans="1:14" ht="14.1" customHeight="1">
      <c r="A1387" s="56" t="s">
        <v>669</v>
      </c>
      <c r="B1387" s="46"/>
      <c r="C1387" s="47" t="s">
        <v>670</v>
      </c>
      <c r="D1387" s="53">
        <v>263783</v>
      </c>
      <c r="E1387" s="50">
        <v>278757</v>
      </c>
      <c r="F1387" s="50">
        <f>+F1388+F1389+F1390</f>
        <v>340087</v>
      </c>
      <c r="G1387" s="50">
        <f t="shared" ref="G1387:H1387" si="1049">+G1388+G1389+G1390</f>
        <v>0</v>
      </c>
      <c r="H1387" s="50">
        <f t="shared" si="1049"/>
        <v>340087</v>
      </c>
      <c r="I1387" s="50">
        <f t="shared" ref="I1387:J1387" si="1050">+I1388+I1389+I1390</f>
        <v>-4000</v>
      </c>
      <c r="J1387" s="50">
        <f t="shared" si="1050"/>
        <v>336087</v>
      </c>
      <c r="K1387" s="50">
        <f t="shared" ref="K1387" si="1051">+K1388+K1389+K1390</f>
        <v>247350</v>
      </c>
      <c r="L1387" s="50">
        <f>+L1388+L1389+L1390</f>
        <v>361000</v>
      </c>
      <c r="M1387" s="335">
        <f t="shared" si="997"/>
        <v>7.4126639828377777E-2</v>
      </c>
      <c r="N1387" s="329">
        <f t="shared" si="1034"/>
        <v>24913</v>
      </c>
    </row>
    <row r="1388" spans="1:14" ht="14.1" customHeight="1">
      <c r="A1388" s="69"/>
      <c r="B1388" s="38">
        <v>4</v>
      </c>
      <c r="C1388" s="39" t="s">
        <v>547</v>
      </c>
      <c r="D1388" s="51">
        <v>0</v>
      </c>
      <c r="E1388" s="141">
        <v>0</v>
      </c>
      <c r="F1388" s="141">
        <v>216</v>
      </c>
      <c r="G1388" s="141"/>
      <c r="H1388" s="141">
        <f>+F1388+G1388</f>
        <v>216</v>
      </c>
      <c r="I1388" s="141">
        <v>78</v>
      </c>
      <c r="J1388" s="141">
        <f>+H1388+I1388</f>
        <v>294</v>
      </c>
      <c r="K1388" s="141">
        <v>344</v>
      </c>
      <c r="L1388" s="141">
        <v>300</v>
      </c>
      <c r="M1388" s="335">
        <f t="shared" si="997"/>
        <v>2.0408163265306121E-2</v>
      </c>
      <c r="N1388" s="329">
        <f t="shared" si="1034"/>
        <v>6</v>
      </c>
    </row>
    <row r="1389" spans="1:14" ht="14.1" customHeight="1">
      <c r="A1389" s="32"/>
      <c r="B1389" s="38" t="s">
        <v>210</v>
      </c>
      <c r="C1389" s="39" t="s">
        <v>211</v>
      </c>
      <c r="D1389" s="51">
        <v>213969</v>
      </c>
      <c r="E1389" s="143">
        <v>247892</v>
      </c>
      <c r="F1389" s="226">
        <v>311371</v>
      </c>
      <c r="G1389" s="143"/>
      <c r="H1389" s="143">
        <f t="shared" ref="H1389" si="1052">+G1389+F1389</f>
        <v>311371</v>
      </c>
      <c r="I1389" s="152">
        <v>-2000</v>
      </c>
      <c r="J1389" s="143">
        <f t="shared" ref="J1389" si="1053">+I1389+H1389</f>
        <v>309371</v>
      </c>
      <c r="K1389" s="143">
        <v>235221</v>
      </c>
      <c r="L1389" s="225">
        <v>335000</v>
      </c>
      <c r="M1389" s="335">
        <f t="shared" si="997"/>
        <v>8.2842283213358722E-2</v>
      </c>
      <c r="N1389" s="329">
        <f t="shared" si="1034"/>
        <v>25629</v>
      </c>
    </row>
    <row r="1390" spans="1:14" ht="14.1" customHeight="1">
      <c r="A1390" s="32"/>
      <c r="B1390" s="38" t="s">
        <v>212</v>
      </c>
      <c r="C1390" s="39" t="s">
        <v>213</v>
      </c>
      <c r="D1390" s="51">
        <v>49814</v>
      </c>
      <c r="E1390" s="138">
        <v>30865</v>
      </c>
      <c r="F1390" s="138">
        <f t="shared" ref="F1390:H1390" si="1054">+F1391+F1392+F1393+F1394+F1399+F1400+F1401+F1402+F1403+F1404+F1405</f>
        <v>28500</v>
      </c>
      <c r="G1390" s="138">
        <f t="shared" si="1054"/>
        <v>0</v>
      </c>
      <c r="H1390" s="138">
        <f t="shared" si="1054"/>
        <v>28500</v>
      </c>
      <c r="I1390" s="138">
        <f t="shared" ref="I1390:J1390" si="1055">+I1391+I1392+I1393+I1394+I1399+I1400+I1401+I1402+I1403+I1404+I1405</f>
        <v>-2078</v>
      </c>
      <c r="J1390" s="138">
        <f t="shared" si="1055"/>
        <v>26422</v>
      </c>
      <c r="K1390" s="138">
        <f t="shared" ref="K1390:L1390" si="1056">+K1391+K1392+K1393+K1394+K1399+K1400+K1401+K1402+K1403+K1404+K1405</f>
        <v>11785</v>
      </c>
      <c r="L1390" s="138">
        <f t="shared" si="1056"/>
        <v>25700</v>
      </c>
      <c r="M1390" s="335">
        <f t="shared" si="997"/>
        <v>-2.7325713420634321E-2</v>
      </c>
      <c r="N1390" s="329">
        <f t="shared" si="1034"/>
        <v>-722</v>
      </c>
    </row>
    <row r="1391" spans="1:14" ht="14.1" customHeight="1">
      <c r="A1391" s="32"/>
      <c r="B1391" s="33" t="s">
        <v>214</v>
      </c>
      <c r="C1391" s="34" t="s">
        <v>227</v>
      </c>
      <c r="D1391" s="52">
        <v>1200</v>
      </c>
      <c r="E1391" s="17">
        <v>350</v>
      </c>
      <c r="F1391" s="224">
        <v>1000</v>
      </c>
      <c r="G1391" s="17">
        <v>-200</v>
      </c>
      <c r="H1391" s="17">
        <f>+F1391+G1391</f>
        <v>800</v>
      </c>
      <c r="I1391" s="17">
        <v>-178</v>
      </c>
      <c r="J1391" s="17">
        <f>+H1391+I1391</f>
        <v>622</v>
      </c>
      <c r="K1391" s="17">
        <v>766</v>
      </c>
      <c r="L1391" s="226">
        <v>1100</v>
      </c>
      <c r="M1391" s="335">
        <f t="shared" si="997"/>
        <v>0.76848874598070738</v>
      </c>
      <c r="N1391" s="329">
        <f t="shared" si="1034"/>
        <v>478</v>
      </c>
    </row>
    <row r="1392" spans="1:14" ht="14.1" customHeight="1">
      <c r="A1392" s="32"/>
      <c r="B1392" s="33">
        <v>5503</v>
      </c>
      <c r="C1392" s="34" t="s">
        <v>216</v>
      </c>
      <c r="D1392" s="52">
        <v>0</v>
      </c>
      <c r="E1392" s="17">
        <v>0</v>
      </c>
      <c r="F1392" s="224">
        <v>200</v>
      </c>
      <c r="G1392" s="17"/>
      <c r="H1392" s="17">
        <f t="shared" ref="H1392:H1393" si="1057">+F1392+G1392</f>
        <v>200</v>
      </c>
      <c r="I1392" s="17">
        <v>100</v>
      </c>
      <c r="J1392" s="17">
        <f t="shared" ref="J1392:J1393" si="1058">+H1392+I1392</f>
        <v>300</v>
      </c>
      <c r="K1392" s="17">
        <v>282</v>
      </c>
      <c r="L1392" s="226"/>
      <c r="M1392" s="335">
        <f t="shared" si="997"/>
        <v>-1</v>
      </c>
      <c r="N1392" s="329">
        <f t="shared" si="1034"/>
        <v>-300</v>
      </c>
    </row>
    <row r="1393" spans="1:14" ht="14.1" customHeight="1">
      <c r="A1393" s="32"/>
      <c r="B1393" s="33" t="s">
        <v>217</v>
      </c>
      <c r="C1393" s="34" t="s">
        <v>462</v>
      </c>
      <c r="D1393" s="52">
        <v>1300</v>
      </c>
      <c r="E1393" s="17">
        <v>100</v>
      </c>
      <c r="F1393" s="224">
        <v>1500</v>
      </c>
      <c r="G1393" s="194">
        <v>-500</v>
      </c>
      <c r="H1393" s="17">
        <f t="shared" si="1057"/>
        <v>1000</v>
      </c>
      <c r="I1393" s="17"/>
      <c r="J1393" s="17">
        <f t="shared" si="1058"/>
        <v>1000</v>
      </c>
      <c r="K1393" s="17">
        <v>866</v>
      </c>
      <c r="L1393" s="226">
        <v>1300</v>
      </c>
      <c r="M1393" s="335">
        <f t="shared" si="997"/>
        <v>0.3</v>
      </c>
      <c r="N1393" s="329">
        <f t="shared" si="1034"/>
        <v>300</v>
      </c>
    </row>
    <row r="1394" spans="1:14" ht="14.1" customHeight="1">
      <c r="A1394" s="32"/>
      <c r="B1394" s="33" t="s">
        <v>231</v>
      </c>
      <c r="C1394" s="34" t="s">
        <v>219</v>
      </c>
      <c r="D1394" s="52">
        <v>25635</v>
      </c>
      <c r="E1394" s="17">
        <v>10135</v>
      </c>
      <c r="F1394" s="224">
        <f t="shared" ref="F1394" si="1059">SUM(F1395:F1398)</f>
        <v>11400</v>
      </c>
      <c r="G1394" s="17">
        <f t="shared" ref="G1394:H1394" si="1060">SUM(G1395:G1398)</f>
        <v>-1000</v>
      </c>
      <c r="H1394" s="17">
        <f t="shared" si="1060"/>
        <v>10400</v>
      </c>
      <c r="I1394" s="17">
        <f t="shared" ref="I1394:L1394" si="1061">SUM(I1395:I1398)</f>
        <v>-1000</v>
      </c>
      <c r="J1394" s="17">
        <f t="shared" si="1061"/>
        <v>9400</v>
      </c>
      <c r="K1394" s="17">
        <f t="shared" si="1061"/>
        <v>6830</v>
      </c>
      <c r="L1394" s="224">
        <f t="shared" si="1061"/>
        <v>7500</v>
      </c>
      <c r="M1394" s="335">
        <f t="shared" si="997"/>
        <v>-0.20212765957446807</v>
      </c>
      <c r="N1394" s="329">
        <f t="shared" si="1034"/>
        <v>-1900</v>
      </c>
    </row>
    <row r="1395" spans="1:14" s="5" customFormat="1" ht="14.1" customHeight="1">
      <c r="A1395" s="185"/>
      <c r="B1395" s="186"/>
      <c r="C1395" s="178" t="s">
        <v>407</v>
      </c>
      <c r="D1395" s="179">
        <v>60000</v>
      </c>
      <c r="E1395" s="182">
        <v>5135</v>
      </c>
      <c r="F1395" s="237">
        <v>10000</v>
      </c>
      <c r="G1395" s="182">
        <v>-6000</v>
      </c>
      <c r="H1395" s="182">
        <f t="shared" ref="H1395:H1398" si="1062">+F1395+G1395</f>
        <v>4000</v>
      </c>
      <c r="I1395" s="182"/>
      <c r="J1395" s="182">
        <f t="shared" ref="J1395:J1398" si="1063">+H1395+I1395</f>
        <v>4000</v>
      </c>
      <c r="K1395" s="182">
        <v>2274</v>
      </c>
      <c r="L1395" s="227">
        <v>6000</v>
      </c>
      <c r="M1395" s="335">
        <f t="shared" si="997"/>
        <v>0.5</v>
      </c>
      <c r="N1395" s="329">
        <f t="shared" si="1034"/>
        <v>2000</v>
      </c>
    </row>
    <row r="1396" spans="1:14" s="5" customFormat="1" ht="14.1" customHeight="1">
      <c r="A1396" s="185"/>
      <c r="B1396" s="186"/>
      <c r="C1396" s="178" t="s">
        <v>410</v>
      </c>
      <c r="D1396" s="179">
        <v>25000</v>
      </c>
      <c r="E1396" s="182">
        <v>0</v>
      </c>
      <c r="F1396" s="237">
        <v>400</v>
      </c>
      <c r="G1396" s="182"/>
      <c r="H1396" s="182">
        <f t="shared" si="1062"/>
        <v>400</v>
      </c>
      <c r="I1396" s="182"/>
      <c r="J1396" s="182">
        <f t="shared" si="1063"/>
        <v>400</v>
      </c>
      <c r="K1396" s="182">
        <v>296</v>
      </c>
      <c r="L1396" s="227">
        <v>500</v>
      </c>
      <c r="M1396" s="335">
        <f t="shared" ref="M1396:M1416" si="1064">(L1396-J1396)/J1396</f>
        <v>0.25</v>
      </c>
      <c r="N1396" s="329">
        <f t="shared" si="1034"/>
        <v>100</v>
      </c>
    </row>
    <row r="1397" spans="1:14" s="5" customFormat="1" ht="14.1" customHeight="1">
      <c r="A1397" s="185"/>
      <c r="B1397" s="186"/>
      <c r="C1397" s="178" t="s">
        <v>414</v>
      </c>
      <c r="D1397" s="179">
        <v>7000</v>
      </c>
      <c r="E1397" s="182">
        <v>5000</v>
      </c>
      <c r="F1397" s="237">
        <v>1000</v>
      </c>
      <c r="G1397" s="243">
        <v>5000</v>
      </c>
      <c r="H1397" s="182">
        <f t="shared" si="1062"/>
        <v>6000</v>
      </c>
      <c r="I1397" s="182">
        <v>-1000</v>
      </c>
      <c r="J1397" s="182">
        <f t="shared" si="1063"/>
        <v>5000</v>
      </c>
      <c r="K1397" s="182">
        <v>4260</v>
      </c>
      <c r="L1397" s="227">
        <v>1000</v>
      </c>
      <c r="M1397" s="335">
        <f t="shared" si="1064"/>
        <v>-0.8</v>
      </c>
      <c r="N1397" s="329">
        <f t="shared" si="1034"/>
        <v>-4000</v>
      </c>
    </row>
    <row r="1398" spans="1:14" s="5" customFormat="1" ht="14.1" customHeight="1">
      <c r="A1398" s="185"/>
      <c r="B1398" s="186"/>
      <c r="C1398" s="178" t="s">
        <v>661</v>
      </c>
      <c r="D1398" s="179">
        <v>17000</v>
      </c>
      <c r="E1398" s="182">
        <v>0</v>
      </c>
      <c r="F1398" s="237">
        <v>0</v>
      </c>
      <c r="G1398" s="182"/>
      <c r="H1398" s="182">
        <f t="shared" si="1062"/>
        <v>0</v>
      </c>
      <c r="I1398" s="182"/>
      <c r="J1398" s="182">
        <f t="shared" si="1063"/>
        <v>0</v>
      </c>
      <c r="K1398" s="182"/>
      <c r="L1398" s="227">
        <v>0</v>
      </c>
      <c r="M1398" s="335" t="e">
        <f t="shared" si="1064"/>
        <v>#DIV/0!</v>
      </c>
      <c r="N1398" s="329">
        <f t="shared" si="1034"/>
        <v>0</v>
      </c>
    </row>
    <row r="1399" spans="1:14" ht="14.1" customHeight="1">
      <c r="A1399" s="32"/>
      <c r="B1399" s="33" t="s">
        <v>253</v>
      </c>
      <c r="C1399" s="34" t="s">
        <v>671</v>
      </c>
      <c r="D1399" s="52">
        <v>580</v>
      </c>
      <c r="E1399" s="17">
        <v>380</v>
      </c>
      <c r="F1399" s="224">
        <v>500</v>
      </c>
      <c r="G1399" s="17"/>
      <c r="H1399" s="17">
        <f>+F1399+G1399</f>
        <v>500</v>
      </c>
      <c r="I1399" s="17"/>
      <c r="J1399" s="17">
        <f>+H1399+I1399</f>
        <v>500</v>
      </c>
      <c r="K1399" s="17">
        <v>226</v>
      </c>
      <c r="L1399" s="226">
        <v>500</v>
      </c>
      <c r="M1399" s="335">
        <f t="shared" si="1064"/>
        <v>0</v>
      </c>
      <c r="N1399" s="329">
        <f t="shared" si="1034"/>
        <v>0</v>
      </c>
    </row>
    <row r="1400" spans="1:14" ht="14.1" customHeight="1">
      <c r="A1400" s="32"/>
      <c r="B1400" s="33" t="s">
        <v>255</v>
      </c>
      <c r="C1400" s="34" t="s">
        <v>221</v>
      </c>
      <c r="D1400" s="52">
        <v>700</v>
      </c>
      <c r="E1400" s="17">
        <v>300</v>
      </c>
      <c r="F1400" s="224">
        <v>300</v>
      </c>
      <c r="G1400" s="17">
        <v>200</v>
      </c>
      <c r="H1400" s="17">
        <f t="shared" ref="H1400:H1405" si="1065">+F1400+G1400</f>
        <v>500</v>
      </c>
      <c r="I1400" s="17"/>
      <c r="J1400" s="17">
        <f t="shared" ref="J1400:J1405" si="1066">+H1400+I1400</f>
        <v>500</v>
      </c>
      <c r="K1400" s="17">
        <v>288</v>
      </c>
      <c r="L1400" s="226">
        <v>500</v>
      </c>
      <c r="M1400" s="335">
        <f t="shared" si="1064"/>
        <v>0</v>
      </c>
      <c r="N1400" s="329">
        <f t="shared" si="1034"/>
        <v>0</v>
      </c>
    </row>
    <row r="1401" spans="1:14" ht="14.1" customHeight="1">
      <c r="A1401" s="32"/>
      <c r="B1401" s="33" t="s">
        <v>256</v>
      </c>
      <c r="C1401" s="34" t="s">
        <v>257</v>
      </c>
      <c r="D1401" s="52">
        <v>12539</v>
      </c>
      <c r="E1401" s="17">
        <v>8700</v>
      </c>
      <c r="F1401" s="224">
        <v>5000</v>
      </c>
      <c r="G1401" s="17">
        <v>500</v>
      </c>
      <c r="H1401" s="17">
        <f t="shared" si="1065"/>
        <v>5500</v>
      </c>
      <c r="I1401" s="17">
        <v>-1000</v>
      </c>
      <c r="J1401" s="17">
        <f t="shared" si="1066"/>
        <v>4500</v>
      </c>
      <c r="K1401" s="17">
        <v>1761</v>
      </c>
      <c r="L1401" s="226">
        <v>5500</v>
      </c>
      <c r="M1401" s="335">
        <f t="shared" si="1064"/>
        <v>0.22222222222222221</v>
      </c>
      <c r="N1401" s="329">
        <f t="shared" si="1034"/>
        <v>1000</v>
      </c>
    </row>
    <row r="1402" spans="1:14" ht="14.1" customHeight="1">
      <c r="A1402" s="32"/>
      <c r="B1402" s="33">
        <v>5522</v>
      </c>
      <c r="C1402" s="34" t="s">
        <v>262</v>
      </c>
      <c r="D1402" s="52">
        <v>60</v>
      </c>
      <c r="E1402" s="17">
        <v>0</v>
      </c>
      <c r="F1402" s="224">
        <v>1000</v>
      </c>
      <c r="G1402" s="17"/>
      <c r="H1402" s="17">
        <f t="shared" si="1065"/>
        <v>1000</v>
      </c>
      <c r="I1402" s="17"/>
      <c r="J1402" s="17">
        <f t="shared" si="1066"/>
        <v>1000</v>
      </c>
      <c r="K1402" s="17"/>
      <c r="L1402" s="226">
        <v>300</v>
      </c>
      <c r="M1402" s="335">
        <f t="shared" si="1064"/>
        <v>-0.7</v>
      </c>
      <c r="N1402" s="329">
        <f t="shared" si="1034"/>
        <v>-700</v>
      </c>
    </row>
    <row r="1403" spans="1:14" ht="14.1" customHeight="1">
      <c r="A1403" s="32"/>
      <c r="B1403" s="33" t="s">
        <v>576</v>
      </c>
      <c r="C1403" s="34" t="s">
        <v>577</v>
      </c>
      <c r="D1403" s="52">
        <v>800</v>
      </c>
      <c r="E1403" s="17">
        <v>4200</v>
      </c>
      <c r="F1403" s="224">
        <v>2000</v>
      </c>
      <c r="G1403" s="17"/>
      <c r="H1403" s="17">
        <f t="shared" si="1065"/>
        <v>2000</v>
      </c>
      <c r="I1403" s="17"/>
      <c r="J1403" s="17">
        <f t="shared" si="1066"/>
        <v>2000</v>
      </c>
      <c r="K1403" s="17">
        <v>367</v>
      </c>
      <c r="L1403" s="226">
        <v>2000</v>
      </c>
      <c r="M1403" s="335">
        <f t="shared" si="1064"/>
        <v>0</v>
      </c>
      <c r="N1403" s="329">
        <f t="shared" si="1034"/>
        <v>0</v>
      </c>
    </row>
    <row r="1404" spans="1:14" ht="14.1" customHeight="1">
      <c r="A1404" s="32"/>
      <c r="B1404" s="33" t="s">
        <v>263</v>
      </c>
      <c r="C1404" s="34" t="s">
        <v>264</v>
      </c>
      <c r="D1404" s="52">
        <v>5000</v>
      </c>
      <c r="E1404" s="17">
        <v>6200</v>
      </c>
      <c r="F1404" s="224">
        <v>5000</v>
      </c>
      <c r="G1404" s="17">
        <v>1000</v>
      </c>
      <c r="H1404" s="17">
        <f t="shared" si="1065"/>
        <v>6000</v>
      </c>
      <c r="I1404" s="17"/>
      <c r="J1404" s="17">
        <f t="shared" si="1066"/>
        <v>6000</v>
      </c>
      <c r="K1404" s="17">
        <v>399</v>
      </c>
      <c r="L1404" s="226">
        <v>6000</v>
      </c>
      <c r="M1404" s="335">
        <f t="shared" si="1064"/>
        <v>0</v>
      </c>
      <c r="N1404" s="329">
        <f t="shared" si="1034"/>
        <v>0</v>
      </c>
    </row>
    <row r="1405" spans="1:14" ht="14.1" customHeight="1">
      <c r="A1405" s="32"/>
      <c r="B1405" s="33" t="s">
        <v>305</v>
      </c>
      <c r="C1405" s="34" t="s">
        <v>265</v>
      </c>
      <c r="D1405" s="52">
        <v>2000</v>
      </c>
      <c r="E1405" s="17">
        <v>500</v>
      </c>
      <c r="F1405" s="224">
        <v>600</v>
      </c>
      <c r="G1405" s="17"/>
      <c r="H1405" s="17">
        <f t="shared" si="1065"/>
        <v>600</v>
      </c>
      <c r="I1405" s="17"/>
      <c r="J1405" s="17">
        <f t="shared" si="1066"/>
        <v>600</v>
      </c>
      <c r="K1405" s="17"/>
      <c r="L1405" s="226">
        <v>1000</v>
      </c>
      <c r="M1405" s="335">
        <f t="shared" si="1064"/>
        <v>0.66666666666666663</v>
      </c>
      <c r="N1405" s="329">
        <f t="shared" si="1034"/>
        <v>400</v>
      </c>
    </row>
    <row r="1406" spans="1:14" ht="13.5" customHeight="1">
      <c r="A1406" s="56" t="s">
        <v>672</v>
      </c>
      <c r="B1406" s="46"/>
      <c r="C1406" s="47" t="s">
        <v>673</v>
      </c>
      <c r="D1406" s="53">
        <v>55000</v>
      </c>
      <c r="E1406" s="54">
        <v>67310</v>
      </c>
      <c r="F1406" s="50">
        <f t="shared" ref="F1406" si="1067">+F1407+F1408</f>
        <v>65000</v>
      </c>
      <c r="G1406" s="54">
        <f t="shared" ref="G1406:H1406" si="1068">+G1407+G1408</f>
        <v>0</v>
      </c>
      <c r="H1406" s="54">
        <f t="shared" si="1068"/>
        <v>65000</v>
      </c>
      <c r="I1406" s="54">
        <f t="shared" ref="I1406:J1406" si="1069">+I1407+I1408</f>
        <v>0</v>
      </c>
      <c r="J1406" s="54">
        <f t="shared" si="1069"/>
        <v>65000</v>
      </c>
      <c r="K1406" s="54">
        <f t="shared" ref="K1406:L1406" si="1070">+K1407+K1408</f>
        <v>48623</v>
      </c>
      <c r="L1406" s="50">
        <f t="shared" si="1070"/>
        <v>80000</v>
      </c>
      <c r="M1406" s="335">
        <f t="shared" si="1064"/>
        <v>0.23076923076923078</v>
      </c>
      <c r="N1406" s="329">
        <f t="shared" si="1034"/>
        <v>15000</v>
      </c>
    </row>
    <row r="1407" spans="1:14" ht="14.1" customHeight="1">
      <c r="A1407" s="69"/>
      <c r="B1407" s="38">
        <v>4</v>
      </c>
      <c r="C1407" s="39" t="s">
        <v>554</v>
      </c>
      <c r="D1407" s="52"/>
      <c r="E1407" s="140">
        <v>67310</v>
      </c>
      <c r="F1407" s="200">
        <v>10000</v>
      </c>
      <c r="G1407" s="194">
        <v>55000</v>
      </c>
      <c r="H1407" s="140">
        <f>+F1407+G1407</f>
        <v>65000</v>
      </c>
      <c r="I1407" s="140"/>
      <c r="J1407" s="140">
        <f>+H1407+I1407</f>
        <v>65000</v>
      </c>
      <c r="K1407" s="140">
        <v>48623</v>
      </c>
      <c r="L1407" s="200">
        <f>40000+50000-10000</f>
        <v>80000</v>
      </c>
      <c r="M1407" s="335">
        <f t="shared" si="1064"/>
        <v>0.23076923076923078</v>
      </c>
      <c r="N1407" s="329">
        <f t="shared" si="1034"/>
        <v>15000</v>
      </c>
    </row>
    <row r="1408" spans="1:14" ht="14.1" customHeight="1">
      <c r="A1408" s="69"/>
      <c r="B1408" s="33">
        <v>5524</v>
      </c>
      <c r="C1408" s="43" t="s">
        <v>432</v>
      </c>
      <c r="D1408" s="52">
        <v>55000</v>
      </c>
      <c r="E1408" s="137">
        <v>0</v>
      </c>
      <c r="F1408" s="239">
        <v>55000</v>
      </c>
      <c r="G1408" s="194">
        <v>-55000</v>
      </c>
      <c r="H1408" s="137">
        <f t="shared" ref="H1408" si="1071">+G1408+F1408</f>
        <v>0</v>
      </c>
      <c r="I1408" s="255"/>
      <c r="J1408" s="137">
        <f t="shared" ref="J1408" si="1072">+I1408+H1408</f>
        <v>0</v>
      </c>
      <c r="K1408" s="137"/>
      <c r="L1408" s="298"/>
      <c r="M1408" s="335" t="e">
        <f t="shared" si="1064"/>
        <v>#DIV/0!</v>
      </c>
      <c r="N1408" s="329">
        <f t="shared" si="1034"/>
        <v>0</v>
      </c>
    </row>
    <row r="1409" spans="1:14" ht="14.1" customHeight="1">
      <c r="A1409" s="56" t="s">
        <v>674</v>
      </c>
      <c r="B1409" s="250" t="s">
        <v>675</v>
      </c>
      <c r="C1409" s="63" t="s">
        <v>676</v>
      </c>
      <c r="D1409" s="53">
        <v>213786</v>
      </c>
      <c r="E1409" s="50">
        <v>146452</v>
      </c>
      <c r="F1409" s="50">
        <f t="shared" ref="F1409" si="1073">+F1411+F1412+F1410</f>
        <v>146452</v>
      </c>
      <c r="G1409" s="50">
        <f t="shared" ref="G1409:H1409" si="1074">+G1411+G1412+G1410</f>
        <v>-7342</v>
      </c>
      <c r="H1409" s="50">
        <f t="shared" si="1074"/>
        <v>139110</v>
      </c>
      <c r="I1409" s="50">
        <f t="shared" ref="I1409:J1409" si="1075">+I1411+I1412+I1410</f>
        <v>8329</v>
      </c>
      <c r="J1409" s="50">
        <f t="shared" si="1075"/>
        <v>147439</v>
      </c>
      <c r="K1409" s="50">
        <f t="shared" ref="K1409:L1409" si="1076">+K1411+K1412+K1410</f>
        <v>85146</v>
      </c>
      <c r="L1409" s="50">
        <f t="shared" si="1076"/>
        <v>134000</v>
      </c>
      <c r="M1409" s="335">
        <f t="shared" si="1064"/>
        <v>-9.1149560157081908E-2</v>
      </c>
      <c r="N1409" s="329">
        <f t="shared" si="1034"/>
        <v>-13439</v>
      </c>
    </row>
    <row r="1410" spans="1:14" ht="14.1" customHeight="1">
      <c r="A1410" s="69"/>
      <c r="B1410" s="38">
        <v>4</v>
      </c>
      <c r="C1410" s="13" t="s">
        <v>677</v>
      </c>
      <c r="D1410" s="52">
        <v>0</v>
      </c>
      <c r="E1410" s="140">
        <v>0</v>
      </c>
      <c r="F1410" s="140">
        <v>0</v>
      </c>
      <c r="G1410" s="140">
        <v>0</v>
      </c>
      <c r="H1410" s="140">
        <f>F1410+G1410</f>
        <v>0</v>
      </c>
      <c r="I1410" s="140">
        <v>0</v>
      </c>
      <c r="J1410" s="140">
        <f>H1410+I1410</f>
        <v>0</v>
      </c>
      <c r="K1410" s="140">
        <f>I1410+J1410</f>
        <v>0</v>
      </c>
      <c r="L1410" s="140">
        <v>0</v>
      </c>
      <c r="M1410" s="335" t="e">
        <f t="shared" si="1064"/>
        <v>#DIV/0!</v>
      </c>
      <c r="N1410" s="329">
        <f t="shared" si="1034"/>
        <v>0</v>
      </c>
    </row>
    <row r="1411" spans="1:14" ht="14.1" customHeight="1">
      <c r="A1411" s="69"/>
      <c r="B1411" s="38">
        <v>50</v>
      </c>
      <c r="C1411" s="75" t="s">
        <v>211</v>
      </c>
      <c r="D1411" s="51">
        <v>70000</v>
      </c>
      <c r="E1411" s="143">
        <v>70000</v>
      </c>
      <c r="F1411" s="226">
        <v>70000</v>
      </c>
      <c r="G1411" s="143">
        <f>-20483-20000</f>
        <v>-40483</v>
      </c>
      <c r="H1411" s="143">
        <f>F1411+G1411</f>
        <v>29517</v>
      </c>
      <c r="I1411" s="143"/>
      <c r="J1411" s="143">
        <f>H1411+I1411</f>
        <v>29517</v>
      </c>
      <c r="K1411" s="143">
        <v>15873</v>
      </c>
      <c r="L1411" s="226">
        <v>20000</v>
      </c>
      <c r="M1411" s="335">
        <f t="shared" si="1064"/>
        <v>-0.3224243656198123</v>
      </c>
      <c r="N1411" s="329">
        <f t="shared" si="1034"/>
        <v>-9517</v>
      </c>
    </row>
    <row r="1412" spans="1:14" ht="14.1" customHeight="1">
      <c r="A1412" s="69"/>
      <c r="B1412" s="38">
        <v>55</v>
      </c>
      <c r="C1412" s="61" t="s">
        <v>213</v>
      </c>
      <c r="D1412" s="51">
        <v>143786</v>
      </c>
      <c r="E1412" s="137">
        <v>76452</v>
      </c>
      <c r="F1412" s="137">
        <f t="shared" ref="F1412:H1412" si="1077">+F1413+F1414+F1415+F1416+F1417+F1418+F1419+F1420+F1421</f>
        <v>76452</v>
      </c>
      <c r="G1412" s="137">
        <f t="shared" si="1077"/>
        <v>33141</v>
      </c>
      <c r="H1412" s="137">
        <f t="shared" si="1077"/>
        <v>109593</v>
      </c>
      <c r="I1412" s="137">
        <f t="shared" ref="I1412:J1412" si="1078">+I1413+I1414+I1415+I1416+I1417+I1418+I1419+I1420+I1421</f>
        <v>8329</v>
      </c>
      <c r="J1412" s="137">
        <f t="shared" si="1078"/>
        <v>117922</v>
      </c>
      <c r="K1412" s="137">
        <f t="shared" ref="K1412:L1412" si="1079">+K1413+K1414+K1415+K1416+K1417+K1418+K1419+K1420+K1421</f>
        <v>69273</v>
      </c>
      <c r="L1412" s="137">
        <f t="shared" si="1079"/>
        <v>114000</v>
      </c>
      <c r="M1412" s="335">
        <f t="shared" si="1064"/>
        <v>-3.3259273078814808E-2</v>
      </c>
      <c r="N1412" s="329">
        <f t="shared" si="1034"/>
        <v>-3922</v>
      </c>
    </row>
    <row r="1413" spans="1:14" ht="14.1" customHeight="1">
      <c r="A1413" s="67"/>
      <c r="B1413" s="64">
        <v>5500</v>
      </c>
      <c r="C1413" s="40" t="s">
        <v>213</v>
      </c>
      <c r="D1413" s="52">
        <v>0</v>
      </c>
      <c r="E1413" s="17">
        <v>0</v>
      </c>
      <c r="F1413" s="224">
        <v>0</v>
      </c>
      <c r="G1413" s="17"/>
      <c r="H1413" s="17">
        <f>+F1413+G1413</f>
        <v>0</v>
      </c>
      <c r="I1413" s="17"/>
      <c r="J1413" s="17">
        <f>+H1413+I1413</f>
        <v>0</v>
      </c>
      <c r="K1413" s="17"/>
      <c r="L1413" s="226"/>
      <c r="M1413" s="335" t="e">
        <f t="shared" si="1064"/>
        <v>#DIV/0!</v>
      </c>
      <c r="N1413" s="329">
        <f t="shared" si="1034"/>
        <v>0</v>
      </c>
    </row>
    <row r="1414" spans="1:14" ht="12.6">
      <c r="A1414" s="67"/>
      <c r="B1414" s="64">
        <v>5504</v>
      </c>
      <c r="C1414" s="40" t="s">
        <v>462</v>
      </c>
      <c r="D1414" s="52">
        <v>0</v>
      </c>
      <c r="E1414" s="17">
        <v>0</v>
      </c>
      <c r="F1414" s="224">
        <v>1300</v>
      </c>
      <c r="G1414" s="255">
        <v>13141</v>
      </c>
      <c r="H1414" s="17">
        <f t="shared" ref="H1414:H1421" si="1080">+F1414+G1414</f>
        <v>14441</v>
      </c>
      <c r="I1414" s="255">
        <v>8329</v>
      </c>
      <c r="J1414" s="17">
        <f t="shared" ref="J1414:J1421" si="1081">+H1414+I1414</f>
        <v>22770</v>
      </c>
      <c r="K1414" s="17">
        <v>3250</v>
      </c>
      <c r="L1414" s="226">
        <v>18000</v>
      </c>
      <c r="M1414" s="335">
        <f t="shared" si="1064"/>
        <v>-0.20948616600790515</v>
      </c>
      <c r="N1414" s="329">
        <f t="shared" ref="N1414:N1477" si="1082">L1414-J1414</f>
        <v>-4770</v>
      </c>
    </row>
    <row r="1415" spans="1:14" ht="12.6">
      <c r="A1415" s="67"/>
      <c r="B1415" s="64">
        <v>5511</v>
      </c>
      <c r="C1415" s="40" t="s">
        <v>219</v>
      </c>
      <c r="D1415" s="52">
        <v>0</v>
      </c>
      <c r="E1415" s="17">
        <v>0</v>
      </c>
      <c r="F1415" s="224">
        <v>0</v>
      </c>
      <c r="G1415" s="17"/>
      <c r="H1415" s="17">
        <f t="shared" si="1080"/>
        <v>0</v>
      </c>
      <c r="I1415" s="17"/>
      <c r="J1415" s="17">
        <f t="shared" si="1081"/>
        <v>0</v>
      </c>
      <c r="K1415" s="17"/>
      <c r="L1415" s="226"/>
      <c r="M1415" s="335" t="e">
        <f t="shared" si="1064"/>
        <v>#DIV/0!</v>
      </c>
      <c r="N1415" s="329">
        <f t="shared" si="1082"/>
        <v>0</v>
      </c>
    </row>
    <row r="1416" spans="1:14" ht="12.6">
      <c r="A1416" s="67"/>
      <c r="B1416" s="64">
        <v>5513</v>
      </c>
      <c r="C1416" s="34" t="s">
        <v>671</v>
      </c>
      <c r="D1416" s="52">
        <v>0</v>
      </c>
      <c r="E1416" s="17">
        <v>0</v>
      </c>
      <c r="F1416" s="224">
        <v>0</v>
      </c>
      <c r="G1416" s="17"/>
      <c r="H1416" s="17">
        <f t="shared" si="1080"/>
        <v>0</v>
      </c>
      <c r="I1416" s="17"/>
      <c r="J1416" s="17">
        <f t="shared" si="1081"/>
        <v>0</v>
      </c>
      <c r="K1416" s="17"/>
      <c r="L1416" s="226"/>
      <c r="M1416" s="335" t="e">
        <f t="shared" si="1064"/>
        <v>#DIV/0!</v>
      </c>
      <c r="N1416" s="329">
        <f t="shared" si="1082"/>
        <v>0</v>
      </c>
    </row>
    <row r="1417" spans="1:14" ht="12.6">
      <c r="A1417" s="67"/>
      <c r="B1417" s="64">
        <v>5514</v>
      </c>
      <c r="C1417" s="34" t="s">
        <v>221</v>
      </c>
      <c r="D1417" s="52">
        <v>25000</v>
      </c>
      <c r="E1417" s="17">
        <v>15000</v>
      </c>
      <c r="F1417" s="224">
        <v>13000</v>
      </c>
      <c r="G1417" s="17">
        <v>-10000</v>
      </c>
      <c r="H1417" s="17">
        <f t="shared" si="1080"/>
        <v>3000</v>
      </c>
      <c r="I1417" s="17"/>
      <c r="J1417" s="17">
        <f t="shared" si="1081"/>
        <v>3000</v>
      </c>
      <c r="K1417" s="17"/>
      <c r="L1417" s="226">
        <v>3000</v>
      </c>
      <c r="M1417" s="335">
        <f>(L1417-J1417)/J1417</f>
        <v>0</v>
      </c>
      <c r="N1417" s="329">
        <f t="shared" si="1082"/>
        <v>0</v>
      </c>
    </row>
    <row r="1418" spans="1:14" ht="14.1" customHeight="1">
      <c r="A1418" s="67"/>
      <c r="B1418" s="64">
        <v>5515</v>
      </c>
      <c r="C1418" s="34" t="s">
        <v>257</v>
      </c>
      <c r="D1418" s="52">
        <v>35919</v>
      </c>
      <c r="E1418" s="17">
        <v>31452</v>
      </c>
      <c r="F1418" s="224">
        <v>16452</v>
      </c>
      <c r="G1418" s="17">
        <v>10000</v>
      </c>
      <c r="H1418" s="17">
        <f t="shared" si="1080"/>
        <v>26452</v>
      </c>
      <c r="I1418" s="17"/>
      <c r="J1418" s="17">
        <f t="shared" si="1081"/>
        <v>26452</v>
      </c>
      <c r="K1418" s="17">
        <v>18631</v>
      </c>
      <c r="L1418" s="226">
        <v>30000</v>
      </c>
      <c r="M1418" s="335">
        <f t="shared" ref="M1418:M1482" si="1083">(L1418-J1418)/J1418</f>
        <v>0.13412974444276426</v>
      </c>
      <c r="N1418" s="329">
        <f t="shared" si="1082"/>
        <v>3548</v>
      </c>
    </row>
    <row r="1419" spans="1:14" ht="14.1" customHeight="1">
      <c r="A1419" s="67"/>
      <c r="B1419" s="64">
        <v>5524</v>
      </c>
      <c r="C1419" s="34" t="s">
        <v>585</v>
      </c>
      <c r="D1419" s="52">
        <v>0</v>
      </c>
      <c r="E1419" s="17">
        <v>0</v>
      </c>
      <c r="F1419" s="224">
        <v>700</v>
      </c>
      <c r="G1419" s="17">
        <v>5000</v>
      </c>
      <c r="H1419" s="17">
        <f t="shared" si="1080"/>
        <v>5700</v>
      </c>
      <c r="I1419" s="17"/>
      <c r="J1419" s="17">
        <f t="shared" si="1081"/>
        <v>5700</v>
      </c>
      <c r="K1419" s="17">
        <v>4954</v>
      </c>
      <c r="L1419" s="226">
        <v>4000</v>
      </c>
      <c r="M1419" s="335">
        <f t="shared" si="1083"/>
        <v>-0.2982456140350877</v>
      </c>
      <c r="N1419" s="329">
        <f t="shared" si="1082"/>
        <v>-1700</v>
      </c>
    </row>
    <row r="1420" spans="1:14" ht="14.1" customHeight="1">
      <c r="A1420" s="67"/>
      <c r="B1420" s="64">
        <v>5525</v>
      </c>
      <c r="C1420" s="34" t="s">
        <v>264</v>
      </c>
      <c r="D1420" s="52">
        <v>62867</v>
      </c>
      <c r="E1420" s="17">
        <v>25000</v>
      </c>
      <c r="F1420" s="224">
        <v>40000</v>
      </c>
      <c r="G1420" s="17">
        <v>10000</v>
      </c>
      <c r="H1420" s="17">
        <f t="shared" si="1080"/>
        <v>50000</v>
      </c>
      <c r="I1420" s="17"/>
      <c r="J1420" s="17">
        <f t="shared" si="1081"/>
        <v>50000</v>
      </c>
      <c r="K1420" s="17">
        <v>24499</v>
      </c>
      <c r="L1420" s="226">
        <v>50000</v>
      </c>
      <c r="M1420" s="335">
        <f t="shared" si="1083"/>
        <v>0</v>
      </c>
      <c r="N1420" s="329">
        <f t="shared" si="1082"/>
        <v>0</v>
      </c>
    </row>
    <row r="1421" spans="1:14" ht="14.1" customHeight="1">
      <c r="A1421" s="67"/>
      <c r="B1421" s="64">
        <v>5540</v>
      </c>
      <c r="C1421" s="34" t="s">
        <v>348</v>
      </c>
      <c r="D1421" s="52">
        <v>20000</v>
      </c>
      <c r="E1421" s="17">
        <v>5000</v>
      </c>
      <c r="F1421" s="224">
        <v>5000</v>
      </c>
      <c r="G1421" s="17">
        <v>5000</v>
      </c>
      <c r="H1421" s="17">
        <f t="shared" si="1080"/>
        <v>10000</v>
      </c>
      <c r="I1421" s="17"/>
      <c r="J1421" s="17">
        <f t="shared" si="1081"/>
        <v>10000</v>
      </c>
      <c r="K1421" s="17">
        <v>17939</v>
      </c>
      <c r="L1421" s="226">
        <v>9000</v>
      </c>
      <c r="M1421" s="335">
        <f t="shared" si="1083"/>
        <v>-0.1</v>
      </c>
      <c r="N1421" s="329">
        <f t="shared" si="1082"/>
        <v>-1000</v>
      </c>
    </row>
    <row r="1422" spans="1:14" ht="14.1" customHeight="1">
      <c r="A1422" s="56" t="s">
        <v>678</v>
      </c>
      <c r="B1422" s="46"/>
      <c r="C1422" s="47" t="s">
        <v>679</v>
      </c>
      <c r="D1422" s="53">
        <v>91539</v>
      </c>
      <c r="E1422" s="50">
        <v>139445</v>
      </c>
      <c r="F1422" s="50">
        <f>+F1424+F1425+F1423</f>
        <v>162613</v>
      </c>
      <c r="G1422" s="50">
        <f t="shared" ref="G1422:H1422" si="1084">+G1424+G1425+G1423</f>
        <v>0</v>
      </c>
      <c r="H1422" s="50">
        <f t="shared" si="1084"/>
        <v>162613</v>
      </c>
      <c r="I1422" s="50">
        <f t="shared" ref="I1422:J1422" si="1085">+I1424+I1425+I1423</f>
        <v>22500</v>
      </c>
      <c r="J1422" s="50">
        <f t="shared" si="1085"/>
        <v>185113</v>
      </c>
      <c r="K1422" s="50">
        <f t="shared" ref="K1422" si="1086">+K1424+K1425+K1423</f>
        <v>140124.39000000001</v>
      </c>
      <c r="L1422" s="50">
        <f>+L1424+L1425+L1423</f>
        <v>204400</v>
      </c>
      <c r="M1422" s="335">
        <f t="shared" si="1083"/>
        <v>0.10419041342315234</v>
      </c>
      <c r="N1422" s="329">
        <f t="shared" si="1082"/>
        <v>19287</v>
      </c>
    </row>
    <row r="1423" spans="1:14" ht="14.1" customHeight="1">
      <c r="A1423" s="69"/>
      <c r="B1423" s="38">
        <v>4</v>
      </c>
      <c r="C1423" s="39" t="s">
        <v>547</v>
      </c>
      <c r="D1423" s="51">
        <v>0</v>
      </c>
      <c r="E1423" s="140">
        <v>0</v>
      </c>
      <c r="F1423" s="200">
        <v>140</v>
      </c>
      <c r="G1423" s="140"/>
      <c r="H1423" s="140">
        <f>+F1423+G1423</f>
        <v>140</v>
      </c>
      <c r="I1423" s="140">
        <v>49</v>
      </c>
      <c r="J1423" s="140">
        <f>+H1423+I1423</f>
        <v>189</v>
      </c>
      <c r="K1423" s="140">
        <v>239</v>
      </c>
      <c r="L1423" s="200">
        <v>200</v>
      </c>
      <c r="M1423" s="335">
        <f t="shared" si="1083"/>
        <v>5.8201058201058198E-2</v>
      </c>
      <c r="N1423" s="329">
        <f t="shared" si="1082"/>
        <v>11</v>
      </c>
    </row>
    <row r="1424" spans="1:14" ht="14.1" customHeight="1">
      <c r="A1424" s="76"/>
      <c r="B1424" s="77" t="s">
        <v>210</v>
      </c>
      <c r="C1424" s="78" t="s">
        <v>211</v>
      </c>
      <c r="D1424" s="51">
        <v>73109</v>
      </c>
      <c r="E1424" s="143">
        <v>120750</v>
      </c>
      <c r="F1424" s="226">
        <v>144668</v>
      </c>
      <c r="G1424" s="143"/>
      <c r="H1424" s="143">
        <f>+F1424+G1424</f>
        <v>144668</v>
      </c>
      <c r="I1424" s="255">
        <v>25000</v>
      </c>
      <c r="J1424" s="143">
        <f>+H1424+I1424</f>
        <v>169668</v>
      </c>
      <c r="K1424" s="143">
        <v>128365</v>
      </c>
      <c r="L1424" s="225">
        <v>184000</v>
      </c>
      <c r="M1424" s="335">
        <f t="shared" si="1083"/>
        <v>8.4470848952071104E-2</v>
      </c>
      <c r="N1424" s="329">
        <f t="shared" si="1082"/>
        <v>14332</v>
      </c>
    </row>
    <row r="1425" spans="1:14" ht="14.1" customHeight="1">
      <c r="A1425" s="67"/>
      <c r="B1425" s="60" t="s">
        <v>212</v>
      </c>
      <c r="C1425" s="61" t="s">
        <v>213</v>
      </c>
      <c r="D1425" s="51">
        <v>18430</v>
      </c>
      <c r="E1425" s="137">
        <v>18695</v>
      </c>
      <c r="F1425" s="137">
        <f>SUM(F1426:F1435)</f>
        <v>17805</v>
      </c>
      <c r="G1425" s="137">
        <f t="shared" ref="G1425:H1425" si="1087">SUM(G1426:G1435)</f>
        <v>0</v>
      </c>
      <c r="H1425" s="137">
        <f t="shared" si="1087"/>
        <v>17805</v>
      </c>
      <c r="I1425" s="137">
        <f t="shared" ref="I1425:J1425" si="1088">SUM(I1426:I1435)</f>
        <v>-2549</v>
      </c>
      <c r="J1425" s="137">
        <f t="shared" si="1088"/>
        <v>15256</v>
      </c>
      <c r="K1425" s="137">
        <f t="shared" ref="K1425" si="1089">SUM(K1426:K1435)</f>
        <v>11520.39</v>
      </c>
      <c r="L1425" s="137">
        <f>SUM(L1426:L1435)</f>
        <v>20200</v>
      </c>
      <c r="M1425" s="335">
        <f t="shared" si="1083"/>
        <v>0.32406921866806504</v>
      </c>
      <c r="N1425" s="329">
        <f t="shared" si="1082"/>
        <v>4944</v>
      </c>
    </row>
    <row r="1426" spans="1:14" ht="14.1" customHeight="1">
      <c r="A1426" s="67"/>
      <c r="B1426" s="64" t="s">
        <v>214</v>
      </c>
      <c r="C1426" s="40" t="s">
        <v>227</v>
      </c>
      <c r="D1426" s="52">
        <v>850</v>
      </c>
      <c r="E1426" s="17">
        <v>1280</v>
      </c>
      <c r="F1426" s="226">
        <v>1100</v>
      </c>
      <c r="G1426" s="17">
        <v>200</v>
      </c>
      <c r="H1426" s="17">
        <f>+F1426+G1426</f>
        <v>1300</v>
      </c>
      <c r="I1426" s="255">
        <v>300</v>
      </c>
      <c r="J1426" s="17">
        <f>+H1426+I1426</f>
        <v>1600</v>
      </c>
      <c r="K1426" s="17">
        <v>733</v>
      </c>
      <c r="L1426" s="226">
        <v>1500</v>
      </c>
      <c r="M1426" s="335">
        <f t="shared" si="1083"/>
        <v>-6.25E-2</v>
      </c>
      <c r="N1426" s="329">
        <f t="shared" si="1082"/>
        <v>-100</v>
      </c>
    </row>
    <row r="1427" spans="1:14" ht="14.1" customHeight="1">
      <c r="A1427" s="67"/>
      <c r="B1427" s="64" t="s">
        <v>217</v>
      </c>
      <c r="C1427" s="40" t="s">
        <v>462</v>
      </c>
      <c r="D1427" s="52">
        <v>1500</v>
      </c>
      <c r="E1427" s="17">
        <v>1000</v>
      </c>
      <c r="F1427" s="226">
        <v>2000</v>
      </c>
      <c r="G1427" s="194">
        <v>-500</v>
      </c>
      <c r="H1427" s="17">
        <f t="shared" ref="H1427:H1435" si="1090">+F1427+G1427</f>
        <v>1500</v>
      </c>
      <c r="I1427" s="17">
        <v>-500</v>
      </c>
      <c r="J1427" s="17">
        <f t="shared" ref="J1427:J1435" si="1091">+H1427+I1427</f>
        <v>1000</v>
      </c>
      <c r="K1427" s="17">
        <v>351</v>
      </c>
      <c r="L1427" s="226">
        <v>1400</v>
      </c>
      <c r="M1427" s="335">
        <f t="shared" si="1083"/>
        <v>0.4</v>
      </c>
      <c r="N1427" s="329">
        <f t="shared" si="1082"/>
        <v>400</v>
      </c>
    </row>
    <row r="1428" spans="1:14" ht="14.1" customHeight="1">
      <c r="A1428" s="67"/>
      <c r="B1428" s="64" t="s">
        <v>231</v>
      </c>
      <c r="C1428" s="40" t="s">
        <v>219</v>
      </c>
      <c r="D1428" s="52">
        <v>0</v>
      </c>
      <c r="E1428" s="17">
        <v>5</v>
      </c>
      <c r="F1428" s="226">
        <v>50</v>
      </c>
      <c r="G1428" s="17"/>
      <c r="H1428" s="17">
        <f t="shared" si="1090"/>
        <v>50</v>
      </c>
      <c r="I1428" s="17">
        <v>-14</v>
      </c>
      <c r="J1428" s="17">
        <f t="shared" si="1091"/>
        <v>36</v>
      </c>
      <c r="K1428" s="17">
        <v>5</v>
      </c>
      <c r="L1428" s="226">
        <v>0</v>
      </c>
      <c r="M1428" s="335">
        <f t="shared" si="1083"/>
        <v>-1</v>
      </c>
      <c r="N1428" s="329">
        <f t="shared" si="1082"/>
        <v>-36</v>
      </c>
    </row>
    <row r="1429" spans="1:14" ht="14.1" customHeight="1">
      <c r="A1429" s="67"/>
      <c r="B1429" s="64" t="s">
        <v>253</v>
      </c>
      <c r="C1429" s="40" t="s">
        <v>671</v>
      </c>
      <c r="D1429" s="52">
        <v>6850</v>
      </c>
      <c r="E1429" s="17">
        <v>4250</v>
      </c>
      <c r="F1429" s="226">
        <v>6700</v>
      </c>
      <c r="G1429" s="17">
        <v>-200</v>
      </c>
      <c r="H1429" s="17">
        <f t="shared" si="1090"/>
        <v>6500</v>
      </c>
      <c r="I1429" s="17"/>
      <c r="J1429" s="17">
        <f t="shared" si="1091"/>
        <v>6500</v>
      </c>
      <c r="K1429" s="17">
        <v>4015</v>
      </c>
      <c r="L1429" s="226">
        <v>6800</v>
      </c>
      <c r="M1429" s="335">
        <f t="shared" si="1083"/>
        <v>4.6153846153846156E-2</v>
      </c>
      <c r="N1429" s="329">
        <f t="shared" si="1082"/>
        <v>300</v>
      </c>
    </row>
    <row r="1430" spans="1:14" ht="14.1" customHeight="1">
      <c r="A1430" s="67"/>
      <c r="B1430" s="64">
        <v>5514</v>
      </c>
      <c r="C1430" s="40" t="s">
        <v>221</v>
      </c>
      <c r="D1430" s="52">
        <v>0</v>
      </c>
      <c r="E1430" s="17">
        <v>155</v>
      </c>
      <c r="F1430" s="226">
        <v>155</v>
      </c>
      <c r="G1430" s="17"/>
      <c r="H1430" s="17">
        <f t="shared" si="1090"/>
        <v>155</v>
      </c>
      <c r="I1430" s="17"/>
      <c r="J1430" s="17">
        <f t="shared" si="1091"/>
        <v>155</v>
      </c>
      <c r="K1430" s="17">
        <v>85.39</v>
      </c>
      <c r="L1430" s="226">
        <v>200</v>
      </c>
      <c r="M1430" s="335">
        <f t="shared" si="1083"/>
        <v>0.29032258064516131</v>
      </c>
      <c r="N1430" s="329">
        <f t="shared" si="1082"/>
        <v>45</v>
      </c>
    </row>
    <row r="1431" spans="1:14" ht="14.1" customHeight="1">
      <c r="A1431" s="67"/>
      <c r="B1431" s="64" t="s">
        <v>256</v>
      </c>
      <c r="C1431" s="40" t="s">
        <v>257</v>
      </c>
      <c r="D1431" s="52">
        <v>6100</v>
      </c>
      <c r="E1431" s="17">
        <v>3975</v>
      </c>
      <c r="F1431" s="226">
        <v>2000</v>
      </c>
      <c r="G1431" s="194">
        <v>500</v>
      </c>
      <c r="H1431" s="17">
        <f t="shared" si="1090"/>
        <v>2500</v>
      </c>
      <c r="I1431" s="17">
        <v>-1000</v>
      </c>
      <c r="J1431" s="17">
        <f t="shared" si="1091"/>
        <v>1500</v>
      </c>
      <c r="K1431" s="17">
        <v>632</v>
      </c>
      <c r="L1431" s="226">
        <v>5000</v>
      </c>
      <c r="M1431" s="335">
        <f t="shared" si="1083"/>
        <v>2.3333333333333335</v>
      </c>
      <c r="N1431" s="329">
        <f t="shared" si="1082"/>
        <v>3500</v>
      </c>
    </row>
    <row r="1432" spans="1:14" ht="14.1" customHeight="1">
      <c r="A1432" s="67"/>
      <c r="B1432" s="64">
        <v>5522</v>
      </c>
      <c r="C1432" s="34" t="s">
        <v>262</v>
      </c>
      <c r="D1432" s="52">
        <v>30</v>
      </c>
      <c r="E1432" s="17">
        <v>30</v>
      </c>
      <c r="F1432" s="226">
        <v>1000</v>
      </c>
      <c r="G1432" s="17"/>
      <c r="H1432" s="17">
        <f t="shared" si="1090"/>
        <v>1000</v>
      </c>
      <c r="I1432" s="17">
        <v>-335</v>
      </c>
      <c r="J1432" s="17">
        <f t="shared" si="1091"/>
        <v>665</v>
      </c>
      <c r="K1432" s="17">
        <v>665</v>
      </c>
      <c r="L1432" s="226">
        <v>100</v>
      </c>
      <c r="M1432" s="335">
        <f t="shared" si="1083"/>
        <v>-0.84962406015037595</v>
      </c>
      <c r="N1432" s="329">
        <f t="shared" si="1082"/>
        <v>-565</v>
      </c>
    </row>
    <row r="1433" spans="1:14" ht="14.1" customHeight="1">
      <c r="A1433" s="67"/>
      <c r="B1433" s="64" t="s">
        <v>576</v>
      </c>
      <c r="C1433" s="40" t="s">
        <v>577</v>
      </c>
      <c r="D1433" s="52">
        <v>200</v>
      </c>
      <c r="E1433" s="17">
        <v>2700</v>
      </c>
      <c r="F1433" s="226">
        <v>800</v>
      </c>
      <c r="G1433" s="17"/>
      <c r="H1433" s="17">
        <f t="shared" si="1090"/>
        <v>800</v>
      </c>
      <c r="I1433" s="17"/>
      <c r="J1433" s="17">
        <f t="shared" si="1091"/>
        <v>800</v>
      </c>
      <c r="K1433" s="17">
        <v>934</v>
      </c>
      <c r="L1433" s="226">
        <v>800</v>
      </c>
      <c r="M1433" s="335">
        <f t="shared" si="1083"/>
        <v>0</v>
      </c>
      <c r="N1433" s="329">
        <f t="shared" si="1082"/>
        <v>0</v>
      </c>
    </row>
    <row r="1434" spans="1:14" ht="14.1" customHeight="1">
      <c r="A1434" s="67"/>
      <c r="B1434" s="64" t="s">
        <v>263</v>
      </c>
      <c r="C1434" s="40" t="s">
        <v>264</v>
      </c>
      <c r="D1434" s="52">
        <v>2500</v>
      </c>
      <c r="E1434" s="17">
        <v>5050</v>
      </c>
      <c r="F1434" s="226">
        <v>3000</v>
      </c>
      <c r="G1434" s="17"/>
      <c r="H1434" s="17">
        <f t="shared" si="1090"/>
        <v>3000</v>
      </c>
      <c r="I1434" s="17"/>
      <c r="J1434" s="17">
        <f t="shared" si="1091"/>
        <v>3000</v>
      </c>
      <c r="K1434" s="17">
        <v>4100</v>
      </c>
      <c r="L1434" s="226">
        <v>3000</v>
      </c>
      <c r="M1434" s="335">
        <f t="shared" si="1083"/>
        <v>0</v>
      </c>
      <c r="N1434" s="329">
        <f t="shared" si="1082"/>
        <v>0</v>
      </c>
    </row>
    <row r="1435" spans="1:14" ht="14.1" customHeight="1">
      <c r="A1435" s="67"/>
      <c r="B1435" s="64" t="s">
        <v>305</v>
      </c>
      <c r="C1435" s="34" t="s">
        <v>348</v>
      </c>
      <c r="D1435" s="52">
        <v>400</v>
      </c>
      <c r="E1435" s="17">
        <v>250</v>
      </c>
      <c r="F1435" s="226">
        <v>1000</v>
      </c>
      <c r="G1435" s="17"/>
      <c r="H1435" s="17">
        <f t="shared" si="1090"/>
        <v>1000</v>
      </c>
      <c r="I1435" s="17">
        <v>-1000</v>
      </c>
      <c r="J1435" s="17">
        <f t="shared" si="1091"/>
        <v>0</v>
      </c>
      <c r="K1435" s="17"/>
      <c r="L1435" s="226">
        <v>1400</v>
      </c>
      <c r="M1435" s="335" t="e">
        <f t="shared" si="1083"/>
        <v>#DIV/0!</v>
      </c>
      <c r="N1435" s="329">
        <f t="shared" si="1082"/>
        <v>1400</v>
      </c>
    </row>
    <row r="1436" spans="1:14" ht="14.1" customHeight="1">
      <c r="A1436" s="45" t="s">
        <v>680</v>
      </c>
      <c r="B1436" s="46"/>
      <c r="C1436" s="47" t="s">
        <v>681</v>
      </c>
      <c r="D1436" s="53">
        <v>60000</v>
      </c>
      <c r="E1436" s="54">
        <v>97000</v>
      </c>
      <c r="F1436" s="54">
        <f t="shared" ref="F1436:L1436" si="1092">+F1437</f>
        <v>100000</v>
      </c>
      <c r="G1436" s="54">
        <f t="shared" si="1092"/>
        <v>0</v>
      </c>
      <c r="H1436" s="54">
        <f t="shared" si="1092"/>
        <v>100000</v>
      </c>
      <c r="I1436" s="54">
        <f t="shared" si="1092"/>
        <v>0</v>
      </c>
      <c r="J1436" s="54">
        <f t="shared" si="1092"/>
        <v>100000</v>
      </c>
      <c r="K1436" s="54">
        <f t="shared" si="1092"/>
        <v>84534</v>
      </c>
      <c r="L1436" s="54">
        <f t="shared" si="1092"/>
        <v>135000</v>
      </c>
      <c r="M1436" s="335">
        <f t="shared" si="1083"/>
        <v>0.35</v>
      </c>
      <c r="N1436" s="329">
        <f t="shared" si="1082"/>
        <v>35000</v>
      </c>
    </row>
    <row r="1437" spans="1:14" ht="14.1" customHeight="1">
      <c r="A1437" s="117"/>
      <c r="B1437" s="38">
        <v>55</v>
      </c>
      <c r="C1437" s="39" t="s">
        <v>682</v>
      </c>
      <c r="D1437" s="117"/>
      <c r="E1437" s="231">
        <v>97000</v>
      </c>
      <c r="F1437" s="231">
        <v>100000</v>
      </c>
      <c r="G1437" s="231"/>
      <c r="H1437" s="231">
        <f>+F1437+G1437</f>
        <v>100000</v>
      </c>
      <c r="I1437" s="137"/>
      <c r="J1437" s="231">
        <f>+H1437+I1437</f>
        <v>100000</v>
      </c>
      <c r="K1437" s="231">
        <v>84534</v>
      </c>
      <c r="L1437" s="231">
        <v>135000</v>
      </c>
      <c r="M1437" s="335">
        <f t="shared" si="1083"/>
        <v>0.35</v>
      </c>
      <c r="N1437" s="329">
        <f t="shared" si="1082"/>
        <v>35000</v>
      </c>
    </row>
    <row r="1438" spans="1:14" ht="14.1" customHeight="1">
      <c r="A1438" s="56" t="s">
        <v>683</v>
      </c>
      <c r="B1438" s="46"/>
      <c r="C1438" s="47" t="s">
        <v>684</v>
      </c>
      <c r="D1438" s="53">
        <v>175000</v>
      </c>
      <c r="E1438" s="50">
        <v>234216</v>
      </c>
      <c r="F1438" s="50">
        <f t="shared" ref="F1438" si="1093">+F1439+F1440</f>
        <v>252087</v>
      </c>
      <c r="G1438" s="50">
        <f t="shared" ref="G1438:H1438" si="1094">+G1439+G1440</f>
        <v>28000</v>
      </c>
      <c r="H1438" s="50">
        <f t="shared" si="1094"/>
        <v>275087</v>
      </c>
      <c r="I1438" s="50">
        <f t="shared" ref="I1438:J1438" si="1095">+I1439+I1440</f>
        <v>9600</v>
      </c>
      <c r="J1438" s="50">
        <f t="shared" si="1095"/>
        <v>284687</v>
      </c>
      <c r="K1438" s="50">
        <f t="shared" ref="K1438:L1438" si="1096">+K1439+K1440</f>
        <v>201165</v>
      </c>
      <c r="L1438" s="50">
        <f t="shared" si="1096"/>
        <v>353000</v>
      </c>
      <c r="M1438" s="335">
        <f t="shared" si="1083"/>
        <v>0.2399582699596399</v>
      </c>
      <c r="N1438" s="329">
        <f t="shared" si="1082"/>
        <v>68313</v>
      </c>
    </row>
    <row r="1439" spans="1:14" ht="14.1" customHeight="1">
      <c r="A1439" s="37"/>
      <c r="B1439" s="38">
        <v>50</v>
      </c>
      <c r="C1439" s="39" t="s">
        <v>211</v>
      </c>
      <c r="D1439" s="51">
        <v>65000</v>
      </c>
      <c r="E1439" s="143">
        <v>83316</v>
      </c>
      <c r="F1439" s="226">
        <v>99387</v>
      </c>
      <c r="G1439" s="143"/>
      <c r="H1439" s="143">
        <f t="shared" ref="H1439" si="1097">+G1439+F1439</f>
        <v>99387</v>
      </c>
      <c r="I1439" s="152">
        <v>9600</v>
      </c>
      <c r="J1439" s="143">
        <f t="shared" ref="J1439" si="1098">+I1439+H1439</f>
        <v>108987</v>
      </c>
      <c r="K1439" s="143">
        <v>81405</v>
      </c>
      <c r="L1439" s="225">
        <v>128000</v>
      </c>
      <c r="M1439" s="335">
        <f t="shared" si="1083"/>
        <v>0.17445199886224963</v>
      </c>
      <c r="N1439" s="329">
        <f t="shared" si="1082"/>
        <v>19013</v>
      </c>
    </row>
    <row r="1440" spans="1:14" ht="14.1" customHeight="1">
      <c r="A1440" s="37"/>
      <c r="B1440" s="38">
        <v>55</v>
      </c>
      <c r="C1440" s="39" t="s">
        <v>685</v>
      </c>
      <c r="D1440" s="51">
        <v>110000</v>
      </c>
      <c r="E1440" s="137">
        <v>150900</v>
      </c>
      <c r="F1440" s="137">
        <f>SUM(F1441:F1450)</f>
        <v>152700</v>
      </c>
      <c r="G1440" s="137">
        <f>G1441+G1442+G1445+G1446+G1447+G1448+G1450</f>
        <v>28000</v>
      </c>
      <c r="H1440" s="137">
        <f>H1441+H1442+H1445+H1446+H1447+H1448+H1450</f>
        <v>175700</v>
      </c>
      <c r="I1440" s="137">
        <f>I1441+I1442+I1445+I1446+I1447+I1448+I1450</f>
        <v>0</v>
      </c>
      <c r="J1440" s="137">
        <f>J1441+J1442+J1445+J1446+J1447+J1448+J1450</f>
        <v>175700</v>
      </c>
      <c r="K1440" s="137">
        <f>K1441+K1442+K1445+K1446+K1447+K1448+K1450+K1449</f>
        <v>119760</v>
      </c>
      <c r="L1440" s="137">
        <f>SUM(L1441:L1450)</f>
        <v>225000</v>
      </c>
      <c r="M1440" s="335">
        <f t="shared" si="1083"/>
        <v>0.28059191804211725</v>
      </c>
      <c r="N1440" s="329">
        <f t="shared" si="1082"/>
        <v>49300</v>
      </c>
    </row>
    <row r="1441" spans="1:14" ht="14.1" customHeight="1">
      <c r="A1441" s="37"/>
      <c r="B1441" s="33">
        <v>5504</v>
      </c>
      <c r="C1441" s="40" t="s">
        <v>462</v>
      </c>
      <c r="D1441" s="52">
        <v>0</v>
      </c>
      <c r="E1441" s="17">
        <v>0</v>
      </c>
      <c r="F1441" s="226">
        <v>0</v>
      </c>
      <c r="G1441" s="17"/>
      <c r="H1441" s="17">
        <f>+F1441+G1441</f>
        <v>0</v>
      </c>
      <c r="I1441" s="17"/>
      <c r="J1441" s="17">
        <f>+H1441+I1441</f>
        <v>0</v>
      </c>
      <c r="K1441" s="17">
        <v>259</v>
      </c>
      <c r="L1441" s="226">
        <v>0</v>
      </c>
      <c r="M1441" s="335" t="e">
        <f t="shared" si="1083"/>
        <v>#DIV/0!</v>
      </c>
      <c r="N1441" s="329">
        <f t="shared" si="1082"/>
        <v>0</v>
      </c>
    </row>
    <row r="1442" spans="1:14" ht="14.1" customHeight="1">
      <c r="A1442" s="37"/>
      <c r="B1442" s="33">
        <v>5511</v>
      </c>
      <c r="C1442" s="34" t="s">
        <v>686</v>
      </c>
      <c r="D1442" s="52">
        <v>0</v>
      </c>
      <c r="E1442" s="17">
        <v>5600</v>
      </c>
      <c r="F1442" s="17">
        <f t="shared" ref="F1442:G1442" si="1099">SUM(F1443:F1444)</f>
        <v>5000</v>
      </c>
      <c r="G1442" s="17">
        <f t="shared" si="1099"/>
        <v>4000</v>
      </c>
      <c r="H1442" s="17">
        <f t="shared" ref="H1442:H1450" si="1100">+F1442+G1442</f>
        <v>9000</v>
      </c>
      <c r="I1442" s="17">
        <f t="shared" ref="I1442" si="1101">SUM(I1443:I1444)</f>
        <v>0</v>
      </c>
      <c r="J1442" s="17">
        <f>J1443+J1444</f>
        <v>9000</v>
      </c>
      <c r="K1442" s="17">
        <f>K1443+K1444</f>
        <v>11984</v>
      </c>
      <c r="L1442" s="17">
        <f t="shared" ref="L1442" si="1102">SUM(L1443:L1444)</f>
        <v>11000</v>
      </c>
      <c r="M1442" s="335">
        <f t="shared" si="1083"/>
        <v>0.22222222222222221</v>
      </c>
      <c r="N1442" s="329">
        <f t="shared" si="1082"/>
        <v>2000</v>
      </c>
    </row>
    <row r="1443" spans="1:14" ht="14.1" customHeight="1">
      <c r="A1443" s="37"/>
      <c r="B1443" s="33"/>
      <c r="C1443" s="146" t="s">
        <v>687</v>
      </c>
      <c r="D1443" s="52"/>
      <c r="E1443" s="147"/>
      <c r="F1443" s="229">
        <v>3000</v>
      </c>
      <c r="G1443" s="147">
        <v>5500</v>
      </c>
      <c r="H1443" s="182">
        <f t="shared" si="1100"/>
        <v>8500</v>
      </c>
      <c r="I1443" s="147"/>
      <c r="J1443" s="182">
        <f t="shared" ref="J1443:J1450" si="1103">+H1443+I1443</f>
        <v>8500</v>
      </c>
      <c r="K1443" s="182">
        <v>11984</v>
      </c>
      <c r="L1443" s="229">
        <v>10000</v>
      </c>
      <c r="M1443" s="335">
        <f t="shared" si="1083"/>
        <v>0.17647058823529413</v>
      </c>
      <c r="N1443" s="329">
        <f t="shared" si="1082"/>
        <v>1500</v>
      </c>
    </row>
    <row r="1444" spans="1:14" ht="14.1" customHeight="1">
      <c r="A1444" s="37"/>
      <c r="B1444" s="33"/>
      <c r="C1444" s="146" t="s">
        <v>491</v>
      </c>
      <c r="D1444" s="52"/>
      <c r="E1444" s="147"/>
      <c r="F1444" s="229">
        <v>2000</v>
      </c>
      <c r="G1444" s="147">
        <v>-1500</v>
      </c>
      <c r="H1444" s="182">
        <f t="shared" si="1100"/>
        <v>500</v>
      </c>
      <c r="I1444" s="147"/>
      <c r="J1444" s="182">
        <f t="shared" si="1103"/>
        <v>500</v>
      </c>
      <c r="K1444" s="182"/>
      <c r="L1444" s="229">
        <v>1000</v>
      </c>
      <c r="M1444" s="335">
        <f t="shared" si="1083"/>
        <v>1</v>
      </c>
      <c r="N1444" s="329">
        <f t="shared" si="1082"/>
        <v>500</v>
      </c>
    </row>
    <row r="1445" spans="1:14" ht="14.1" customHeight="1">
      <c r="A1445" s="37"/>
      <c r="B1445" s="33">
        <v>5514</v>
      </c>
      <c r="C1445" s="40" t="s">
        <v>221</v>
      </c>
      <c r="D1445" s="52">
        <v>0</v>
      </c>
      <c r="E1445" s="17">
        <v>0</v>
      </c>
      <c r="F1445" s="226">
        <v>0</v>
      </c>
      <c r="G1445" s="17"/>
      <c r="H1445" s="17">
        <f t="shared" si="1100"/>
        <v>0</v>
      </c>
      <c r="I1445" s="17"/>
      <c r="J1445" s="17">
        <f t="shared" si="1103"/>
        <v>0</v>
      </c>
      <c r="K1445" s="17"/>
      <c r="L1445" s="226">
        <v>500</v>
      </c>
      <c r="M1445" s="335" t="e">
        <f t="shared" si="1083"/>
        <v>#DIV/0!</v>
      </c>
      <c r="N1445" s="329">
        <f t="shared" si="1082"/>
        <v>500</v>
      </c>
    </row>
    <row r="1446" spans="1:14" ht="14.1" customHeight="1">
      <c r="A1446" s="37"/>
      <c r="B1446" s="33">
        <v>5515</v>
      </c>
      <c r="C1446" s="34" t="s">
        <v>257</v>
      </c>
      <c r="D1446" s="52">
        <v>0</v>
      </c>
      <c r="E1446" s="17">
        <v>5300</v>
      </c>
      <c r="F1446" s="226">
        <v>1500</v>
      </c>
      <c r="G1446" s="17"/>
      <c r="H1446" s="17">
        <f t="shared" si="1100"/>
        <v>1500</v>
      </c>
      <c r="I1446" s="17"/>
      <c r="J1446" s="17">
        <f t="shared" si="1103"/>
        <v>1500</v>
      </c>
      <c r="K1446" s="17">
        <v>1650</v>
      </c>
      <c r="L1446" s="226">
        <v>1500</v>
      </c>
      <c r="M1446" s="335">
        <f t="shared" si="1083"/>
        <v>0</v>
      </c>
      <c r="N1446" s="329">
        <f t="shared" si="1082"/>
        <v>0</v>
      </c>
    </row>
    <row r="1447" spans="1:14" ht="14.1" customHeight="1">
      <c r="A1447" s="37"/>
      <c r="B1447" s="33">
        <v>5521</v>
      </c>
      <c r="C1447" s="34" t="s">
        <v>418</v>
      </c>
      <c r="D1447" s="52">
        <v>110000</v>
      </c>
      <c r="E1447" s="17">
        <v>140000</v>
      </c>
      <c r="F1447" s="226">
        <v>140000</v>
      </c>
      <c r="G1447" s="194">
        <v>24000</v>
      </c>
      <c r="H1447" s="17">
        <f t="shared" si="1100"/>
        <v>164000</v>
      </c>
      <c r="I1447" s="17"/>
      <c r="J1447" s="17">
        <f t="shared" si="1103"/>
        <v>164000</v>
      </c>
      <c r="K1447" s="17">
        <v>103193</v>
      </c>
      <c r="L1447" s="226">
        <v>200000</v>
      </c>
      <c r="M1447" s="335">
        <f t="shared" si="1083"/>
        <v>0.21951219512195122</v>
      </c>
      <c r="N1447" s="329">
        <f t="shared" si="1082"/>
        <v>36000</v>
      </c>
    </row>
    <row r="1448" spans="1:14" ht="14.1" customHeight="1">
      <c r="A1448" s="37"/>
      <c r="B1448" s="33">
        <v>5522</v>
      </c>
      <c r="C1448" s="34" t="s">
        <v>262</v>
      </c>
      <c r="D1448" s="52"/>
      <c r="E1448" s="95">
        <v>0</v>
      </c>
      <c r="F1448" s="226">
        <v>200</v>
      </c>
      <c r="G1448" s="17"/>
      <c r="H1448" s="17">
        <f t="shared" si="1100"/>
        <v>200</v>
      </c>
      <c r="I1448" s="17"/>
      <c r="J1448" s="17">
        <f t="shared" si="1103"/>
        <v>200</v>
      </c>
      <c r="K1448" s="17">
        <v>30</v>
      </c>
      <c r="L1448" s="226">
        <v>200</v>
      </c>
      <c r="M1448" s="335">
        <f t="shared" si="1083"/>
        <v>0</v>
      </c>
      <c r="N1448" s="329">
        <f t="shared" si="1082"/>
        <v>0</v>
      </c>
    </row>
    <row r="1449" spans="1:14" ht="14.1" customHeight="1">
      <c r="A1449" s="37"/>
      <c r="B1449" s="64" t="s">
        <v>263</v>
      </c>
      <c r="C1449" s="40" t="s">
        <v>264</v>
      </c>
      <c r="D1449" s="52"/>
      <c r="E1449" s="95"/>
      <c r="F1449" s="226"/>
      <c r="G1449" s="17"/>
      <c r="H1449" s="17"/>
      <c r="I1449" s="17"/>
      <c r="J1449" s="17"/>
      <c r="K1449" s="17">
        <v>1916</v>
      </c>
      <c r="L1449" s="226"/>
      <c r="M1449" s="335" t="e">
        <f t="shared" si="1083"/>
        <v>#DIV/0!</v>
      </c>
      <c r="N1449" s="329">
        <f t="shared" si="1082"/>
        <v>0</v>
      </c>
    </row>
    <row r="1450" spans="1:14" ht="14.1" customHeight="1">
      <c r="A1450" s="37"/>
      <c r="B1450" s="33">
        <v>5532</v>
      </c>
      <c r="C1450" s="34" t="s">
        <v>595</v>
      </c>
      <c r="D1450" s="52"/>
      <c r="E1450" s="95">
        <v>0</v>
      </c>
      <c r="F1450" s="226">
        <v>1000</v>
      </c>
      <c r="G1450" s="17"/>
      <c r="H1450" s="17">
        <f t="shared" si="1100"/>
        <v>1000</v>
      </c>
      <c r="I1450" s="17"/>
      <c r="J1450" s="17">
        <f t="shared" si="1103"/>
        <v>1000</v>
      </c>
      <c r="K1450" s="17">
        <v>728</v>
      </c>
      <c r="L1450" s="226">
        <v>800</v>
      </c>
      <c r="M1450" s="335">
        <f t="shared" si="1083"/>
        <v>-0.2</v>
      </c>
      <c r="N1450" s="329">
        <f t="shared" si="1082"/>
        <v>-200</v>
      </c>
    </row>
    <row r="1451" spans="1:14" ht="14.1" customHeight="1">
      <c r="A1451" s="56" t="s">
        <v>688</v>
      </c>
      <c r="B1451" s="46"/>
      <c r="C1451" s="47" t="s">
        <v>689</v>
      </c>
      <c r="D1451" s="53">
        <v>220980</v>
      </c>
      <c r="E1451" s="50">
        <v>235400</v>
      </c>
      <c r="F1451" s="50">
        <f t="shared" ref="F1451" si="1104">+F1452+F1453</f>
        <v>261962</v>
      </c>
      <c r="G1451" s="50">
        <f t="shared" ref="G1451:H1451" si="1105">+G1452+G1453</f>
        <v>15000</v>
      </c>
      <c r="H1451" s="50">
        <f t="shared" si="1105"/>
        <v>278962</v>
      </c>
      <c r="I1451" s="50">
        <f t="shared" ref="I1451:J1451" si="1106">+I1452+I1453</f>
        <v>0</v>
      </c>
      <c r="J1451" s="50">
        <f t="shared" si="1106"/>
        <v>278962</v>
      </c>
      <c r="K1451" s="50">
        <f t="shared" ref="K1451:L1451" si="1107">+K1452+K1453</f>
        <v>193066</v>
      </c>
      <c r="L1451" s="50">
        <f t="shared" si="1107"/>
        <v>292800</v>
      </c>
      <c r="M1451" s="335">
        <f t="shared" si="1083"/>
        <v>4.9605322588739682E-2</v>
      </c>
      <c r="N1451" s="329">
        <f t="shared" si="1082"/>
        <v>13838</v>
      </c>
    </row>
    <row r="1452" spans="1:14" ht="14.1" customHeight="1">
      <c r="A1452" s="37"/>
      <c r="B1452" s="38">
        <v>50</v>
      </c>
      <c r="C1452" s="39" t="s">
        <v>211</v>
      </c>
      <c r="D1452" s="51">
        <v>93980</v>
      </c>
      <c r="E1452" s="143">
        <v>97300</v>
      </c>
      <c r="F1452" s="226">
        <v>111862</v>
      </c>
      <c r="G1452" s="143"/>
      <c r="H1452" s="143">
        <f t="shared" ref="H1452" si="1108">+G1452+F1452</f>
        <v>111862</v>
      </c>
      <c r="I1452" s="143"/>
      <c r="J1452" s="143">
        <f t="shared" ref="J1452" si="1109">+I1452+H1452</f>
        <v>111862</v>
      </c>
      <c r="K1452" s="143">
        <v>82214</v>
      </c>
      <c r="L1452" s="225">
        <v>118800</v>
      </c>
      <c r="M1452" s="335">
        <f t="shared" si="1083"/>
        <v>6.2022849582521321E-2</v>
      </c>
      <c r="N1452" s="329">
        <f t="shared" si="1082"/>
        <v>6938</v>
      </c>
    </row>
    <row r="1453" spans="1:14" ht="14.1" customHeight="1">
      <c r="A1453" s="37"/>
      <c r="B1453" s="38">
        <v>55</v>
      </c>
      <c r="C1453" s="39" t="s">
        <v>682</v>
      </c>
      <c r="D1453" s="51">
        <v>127000</v>
      </c>
      <c r="E1453" s="138">
        <v>138100</v>
      </c>
      <c r="F1453" s="138">
        <f t="shared" ref="F1453:I1453" si="1110">+F1454+F1462+F1463+F1464+F1466</f>
        <v>150100</v>
      </c>
      <c r="G1453" s="138">
        <f t="shared" si="1110"/>
        <v>15000</v>
      </c>
      <c r="H1453" s="138">
        <f t="shared" si="1110"/>
        <v>167100</v>
      </c>
      <c r="I1453" s="138">
        <f t="shared" si="1110"/>
        <v>0</v>
      </c>
      <c r="J1453" s="138">
        <f>+J1454+J1462+J1463+J1464+J1466+J1465+J1461</f>
        <v>167100</v>
      </c>
      <c r="K1453" s="138">
        <f>+K1454+K1462+K1463+K1464+K1466+K1465+K1461</f>
        <v>110852</v>
      </c>
      <c r="L1453" s="138">
        <f>+L1454+L1462+L1463+L1464+L1466+L1465+L1461</f>
        <v>174000</v>
      </c>
      <c r="M1453" s="335">
        <f t="shared" si="1083"/>
        <v>4.1292639138240578E-2</v>
      </c>
      <c r="N1453" s="329">
        <f t="shared" si="1082"/>
        <v>6900</v>
      </c>
    </row>
    <row r="1454" spans="1:14" ht="14.1" customHeight="1">
      <c r="A1454" s="37"/>
      <c r="B1454" s="33">
        <v>5511</v>
      </c>
      <c r="C1454" s="34" t="s">
        <v>686</v>
      </c>
      <c r="D1454" s="52">
        <v>7000</v>
      </c>
      <c r="E1454" s="95">
        <v>3000</v>
      </c>
      <c r="F1454" s="224">
        <f t="shared" ref="F1454:G1454" si="1111">SUM(F1455:F1459)</f>
        <v>4200</v>
      </c>
      <c r="G1454" s="95">
        <f t="shared" si="1111"/>
        <v>1000</v>
      </c>
      <c r="H1454" s="95">
        <f t="shared" ref="H1454:I1454" si="1112">SUM(H1455:H1460)</f>
        <v>7200</v>
      </c>
      <c r="I1454" s="95">
        <f t="shared" si="1112"/>
        <v>0</v>
      </c>
      <c r="J1454" s="95">
        <f>SUM(J1455:J1460)</f>
        <v>7200</v>
      </c>
      <c r="K1454" s="95">
        <f t="shared" ref="K1454:L1454" si="1113">SUM(K1455:K1460)</f>
        <v>5295</v>
      </c>
      <c r="L1454" s="95">
        <f t="shared" si="1113"/>
        <v>8900</v>
      </c>
      <c r="M1454" s="335">
        <f t="shared" si="1083"/>
        <v>0.2361111111111111</v>
      </c>
      <c r="N1454" s="329">
        <f t="shared" si="1082"/>
        <v>1700</v>
      </c>
    </row>
    <row r="1455" spans="1:14" s="142" customFormat="1" ht="11.45">
      <c r="A1455" s="153"/>
      <c r="B1455" s="145"/>
      <c r="C1455" s="146" t="s">
        <v>690</v>
      </c>
      <c r="D1455" s="151">
        <v>0</v>
      </c>
      <c r="E1455" s="147">
        <v>0</v>
      </c>
      <c r="F1455" s="230">
        <v>0</v>
      </c>
      <c r="G1455" s="147"/>
      <c r="H1455" s="147">
        <f t="shared" ref="H1455:H1466" si="1114">+G1455+F1455</f>
        <v>0</v>
      </c>
      <c r="I1455" s="147"/>
      <c r="J1455" s="147">
        <f t="shared" ref="J1455:J1466" si="1115">+I1455+H1455</f>
        <v>0</v>
      </c>
      <c r="K1455" s="147"/>
      <c r="L1455" s="229"/>
      <c r="M1455" s="335" t="e">
        <f t="shared" si="1083"/>
        <v>#DIV/0!</v>
      </c>
      <c r="N1455" s="329">
        <f t="shared" si="1082"/>
        <v>0</v>
      </c>
    </row>
    <row r="1456" spans="1:14" s="142" customFormat="1" ht="11.45">
      <c r="A1456" s="153"/>
      <c r="B1456" s="145"/>
      <c r="C1456" s="146" t="s">
        <v>235</v>
      </c>
      <c r="D1456" s="151">
        <v>0</v>
      </c>
      <c r="E1456" s="147">
        <v>0</v>
      </c>
      <c r="F1456" s="230">
        <v>0</v>
      </c>
      <c r="G1456" s="147"/>
      <c r="H1456" s="147">
        <f t="shared" si="1114"/>
        <v>0</v>
      </c>
      <c r="I1456" s="147"/>
      <c r="J1456" s="147">
        <f t="shared" si="1115"/>
        <v>0</v>
      </c>
      <c r="K1456" s="147">
        <v>308</v>
      </c>
      <c r="L1456" s="229"/>
      <c r="M1456" s="335" t="e">
        <f t="shared" si="1083"/>
        <v>#DIV/0!</v>
      </c>
      <c r="N1456" s="329">
        <f t="shared" si="1082"/>
        <v>0</v>
      </c>
    </row>
    <row r="1457" spans="1:14" s="142" customFormat="1" ht="14.1" customHeight="1">
      <c r="A1457" s="153"/>
      <c r="B1457" s="280" t="s">
        <v>691</v>
      </c>
      <c r="C1457" s="146" t="s">
        <v>687</v>
      </c>
      <c r="D1457" s="151">
        <v>3000</v>
      </c>
      <c r="E1457" s="147">
        <v>3000</v>
      </c>
      <c r="F1457" s="230">
        <v>4000</v>
      </c>
      <c r="G1457" s="147">
        <v>1000</v>
      </c>
      <c r="H1457" s="147">
        <f t="shared" si="1114"/>
        <v>5000</v>
      </c>
      <c r="I1457" s="147"/>
      <c r="J1457" s="147">
        <f t="shared" si="1115"/>
        <v>5000</v>
      </c>
      <c r="K1457" s="147">
        <v>4842</v>
      </c>
      <c r="L1457" s="229">
        <v>6500</v>
      </c>
      <c r="M1457" s="335">
        <f t="shared" si="1083"/>
        <v>0.3</v>
      </c>
      <c r="N1457" s="329">
        <f t="shared" si="1082"/>
        <v>1500</v>
      </c>
    </row>
    <row r="1458" spans="1:14" s="142" customFormat="1" ht="14.1" customHeight="1">
      <c r="A1458" s="153"/>
      <c r="B1458" s="145" t="s">
        <v>692</v>
      </c>
      <c r="C1458" s="146" t="s">
        <v>491</v>
      </c>
      <c r="D1458" s="151"/>
      <c r="E1458" s="147"/>
      <c r="F1458" s="230">
        <v>200</v>
      </c>
      <c r="G1458" s="147"/>
      <c r="H1458" s="147">
        <f t="shared" si="1114"/>
        <v>200</v>
      </c>
      <c r="I1458" s="147"/>
      <c r="J1458" s="147">
        <f t="shared" si="1115"/>
        <v>200</v>
      </c>
      <c r="K1458" s="147">
        <v>145</v>
      </c>
      <c r="L1458" s="229">
        <v>400</v>
      </c>
      <c r="M1458" s="335">
        <f t="shared" si="1083"/>
        <v>1</v>
      </c>
      <c r="N1458" s="329">
        <f t="shared" si="1082"/>
        <v>200</v>
      </c>
    </row>
    <row r="1459" spans="1:14" s="142" customFormat="1" ht="14.1" customHeight="1">
      <c r="A1459" s="153"/>
      <c r="B1459" s="145" t="s">
        <v>693</v>
      </c>
      <c r="C1459" s="146" t="s">
        <v>694</v>
      </c>
      <c r="D1459" s="151">
        <v>0</v>
      </c>
      <c r="E1459" s="147">
        <v>0</v>
      </c>
      <c r="F1459" s="230">
        <v>0</v>
      </c>
      <c r="G1459" s="147"/>
      <c r="H1459" s="147">
        <f t="shared" si="1114"/>
        <v>0</v>
      </c>
      <c r="I1459" s="147"/>
      <c r="J1459" s="147">
        <f t="shared" si="1115"/>
        <v>0</v>
      </c>
      <c r="K1459" s="147"/>
      <c r="L1459" s="229"/>
      <c r="M1459" s="335" t="e">
        <f t="shared" si="1083"/>
        <v>#DIV/0!</v>
      </c>
      <c r="N1459" s="329">
        <f t="shared" si="1082"/>
        <v>0</v>
      </c>
    </row>
    <row r="1460" spans="1:14" s="142" customFormat="1" ht="14.1" customHeight="1">
      <c r="A1460" s="153"/>
      <c r="B1460" s="145" t="s">
        <v>695</v>
      </c>
      <c r="C1460" s="146" t="s">
        <v>696</v>
      </c>
      <c r="D1460" s="151">
        <v>4000</v>
      </c>
      <c r="E1460" s="147">
        <v>2700</v>
      </c>
      <c r="F1460" s="230">
        <v>2000</v>
      </c>
      <c r="G1460" s="147"/>
      <c r="H1460" s="147">
        <f>+G1460+F1460</f>
        <v>2000</v>
      </c>
      <c r="I1460" s="147"/>
      <c r="J1460" s="147">
        <f>+I1460+H1460</f>
        <v>2000</v>
      </c>
      <c r="K1460" s="147"/>
      <c r="L1460" s="229">
        <v>2000</v>
      </c>
      <c r="M1460" s="335">
        <f t="shared" si="1083"/>
        <v>0</v>
      </c>
      <c r="N1460" s="329">
        <f t="shared" si="1082"/>
        <v>0</v>
      </c>
    </row>
    <row r="1461" spans="1:14" s="142" customFormat="1" ht="14.1" customHeight="1">
      <c r="A1461" s="153"/>
      <c r="B1461" s="33">
        <v>5514</v>
      </c>
      <c r="C1461" s="40" t="s">
        <v>221</v>
      </c>
      <c r="D1461" s="52"/>
      <c r="E1461" s="17"/>
      <c r="F1461" s="224"/>
      <c r="G1461" s="17"/>
      <c r="H1461" s="17"/>
      <c r="I1461" s="17"/>
      <c r="J1461" s="17"/>
      <c r="K1461" s="17">
        <v>163</v>
      </c>
      <c r="L1461" s="226">
        <v>500</v>
      </c>
      <c r="M1461" s="335" t="e">
        <f t="shared" si="1083"/>
        <v>#DIV/0!</v>
      </c>
      <c r="N1461" s="329">
        <f t="shared" si="1082"/>
        <v>500</v>
      </c>
    </row>
    <row r="1462" spans="1:14" ht="14.1" customHeight="1">
      <c r="A1462" s="37"/>
      <c r="B1462" s="33">
        <v>5515</v>
      </c>
      <c r="C1462" s="34" t="s">
        <v>697</v>
      </c>
      <c r="D1462" s="52">
        <v>0</v>
      </c>
      <c r="E1462" s="17">
        <v>3100</v>
      </c>
      <c r="F1462" s="224">
        <v>5000</v>
      </c>
      <c r="G1462" s="17">
        <v>-1000</v>
      </c>
      <c r="H1462" s="17">
        <f t="shared" si="1114"/>
        <v>4000</v>
      </c>
      <c r="I1462" s="17"/>
      <c r="J1462" s="17">
        <f t="shared" si="1115"/>
        <v>4000</v>
      </c>
      <c r="K1462" s="17">
        <v>324</v>
      </c>
      <c r="L1462" s="226">
        <v>4000</v>
      </c>
      <c r="M1462" s="335">
        <f t="shared" si="1083"/>
        <v>0</v>
      </c>
      <c r="N1462" s="329">
        <f t="shared" si="1082"/>
        <v>0</v>
      </c>
    </row>
    <row r="1463" spans="1:14" ht="14.1" customHeight="1">
      <c r="A1463" s="37"/>
      <c r="B1463" s="33">
        <v>5521</v>
      </c>
      <c r="C1463" s="34" t="s">
        <v>698</v>
      </c>
      <c r="D1463" s="52">
        <v>120000</v>
      </c>
      <c r="E1463" s="17">
        <v>132000</v>
      </c>
      <c r="F1463" s="224">
        <v>140000</v>
      </c>
      <c r="G1463" s="194">
        <v>15000</v>
      </c>
      <c r="H1463" s="17">
        <f t="shared" si="1114"/>
        <v>155000</v>
      </c>
      <c r="I1463" s="17"/>
      <c r="J1463" s="17">
        <f t="shared" si="1115"/>
        <v>155000</v>
      </c>
      <c r="K1463" s="17">
        <v>94103</v>
      </c>
      <c r="L1463" s="226">
        <v>160000</v>
      </c>
      <c r="M1463" s="335">
        <f t="shared" si="1083"/>
        <v>3.2258064516129031E-2</v>
      </c>
      <c r="N1463" s="329">
        <f t="shared" si="1082"/>
        <v>5000</v>
      </c>
    </row>
    <row r="1464" spans="1:14" ht="14.1" customHeight="1">
      <c r="A1464" s="37"/>
      <c r="B1464" s="33">
        <v>5522</v>
      </c>
      <c r="C1464" s="34" t="s">
        <v>699</v>
      </c>
      <c r="D1464" s="52">
        <v>0</v>
      </c>
      <c r="E1464" s="17">
        <v>0</v>
      </c>
      <c r="F1464" s="224">
        <v>0</v>
      </c>
      <c r="G1464" s="17"/>
      <c r="H1464" s="17">
        <f t="shared" si="1114"/>
        <v>0</v>
      </c>
      <c r="I1464" s="17"/>
      <c r="J1464" s="17">
        <f t="shared" si="1115"/>
        <v>0</v>
      </c>
      <c r="K1464" s="17"/>
      <c r="L1464" s="226">
        <v>100</v>
      </c>
      <c r="M1464" s="335" t="e">
        <f t="shared" si="1083"/>
        <v>#DIV/0!</v>
      </c>
      <c r="N1464" s="329">
        <f t="shared" si="1082"/>
        <v>100</v>
      </c>
    </row>
    <row r="1465" spans="1:14" ht="14.1" customHeight="1">
      <c r="A1465" s="37"/>
      <c r="B1465" s="64" t="s">
        <v>263</v>
      </c>
      <c r="C1465" s="40" t="s">
        <v>264</v>
      </c>
      <c r="D1465" s="52"/>
      <c r="E1465" s="95"/>
      <c r="F1465" s="224"/>
      <c r="G1465" s="17"/>
      <c r="H1465" s="17"/>
      <c r="I1465" s="17"/>
      <c r="J1465" s="17"/>
      <c r="K1465" s="17">
        <v>10967</v>
      </c>
      <c r="L1465" s="226"/>
      <c r="M1465" s="335"/>
      <c r="N1465" s="329">
        <f t="shared" si="1082"/>
        <v>0</v>
      </c>
    </row>
    <row r="1466" spans="1:14" ht="14.1" customHeight="1">
      <c r="A1466" s="37"/>
      <c r="B1466" s="33">
        <v>5532</v>
      </c>
      <c r="C1466" s="34" t="s">
        <v>595</v>
      </c>
      <c r="D1466" s="52"/>
      <c r="E1466" s="95">
        <v>0</v>
      </c>
      <c r="F1466" s="224">
        <v>900</v>
      </c>
      <c r="G1466" s="17"/>
      <c r="H1466" s="17">
        <f t="shared" si="1114"/>
        <v>900</v>
      </c>
      <c r="I1466" s="17"/>
      <c r="J1466" s="17">
        <f t="shared" si="1115"/>
        <v>900</v>
      </c>
      <c r="K1466" s="17"/>
      <c r="L1466" s="226">
        <v>500</v>
      </c>
      <c r="M1466" s="335">
        <f t="shared" si="1083"/>
        <v>-0.44444444444444442</v>
      </c>
      <c r="N1466" s="329">
        <f t="shared" si="1082"/>
        <v>-400</v>
      </c>
    </row>
    <row r="1467" spans="1:14" ht="14.1" customHeight="1">
      <c r="A1467" s="45" t="s">
        <v>700</v>
      </c>
      <c r="B1467" s="46"/>
      <c r="C1467" s="47" t="s">
        <v>701</v>
      </c>
      <c r="D1467" s="53">
        <v>32915</v>
      </c>
      <c r="E1467" s="50">
        <v>37471</v>
      </c>
      <c r="F1467" s="50">
        <f t="shared" ref="F1467" si="1116">+F1468+F1469</f>
        <v>38351</v>
      </c>
      <c r="G1467" s="238">
        <f t="shared" ref="G1467:H1467" si="1117">+G1468+G1469</f>
        <v>3030</v>
      </c>
      <c r="H1467" s="238">
        <f t="shared" si="1117"/>
        <v>41381</v>
      </c>
      <c r="I1467" s="238">
        <f t="shared" ref="I1467:J1467" si="1118">+I1468+I1469</f>
        <v>2500</v>
      </c>
      <c r="J1467" s="238">
        <f t="shared" si="1118"/>
        <v>43881</v>
      </c>
      <c r="K1467" s="238">
        <f t="shared" ref="K1467:L1467" si="1119">+K1468+K1469</f>
        <v>29696.73</v>
      </c>
      <c r="L1467" s="238">
        <f t="shared" si="1119"/>
        <v>47400</v>
      </c>
      <c r="M1467" s="335">
        <f t="shared" si="1083"/>
        <v>8.0194161482190468E-2</v>
      </c>
      <c r="N1467" s="329">
        <f t="shared" si="1082"/>
        <v>3519</v>
      </c>
    </row>
    <row r="1468" spans="1:14" ht="14.1" customHeight="1">
      <c r="A1468" s="37"/>
      <c r="B1468" s="38">
        <v>50</v>
      </c>
      <c r="C1468" s="39" t="s">
        <v>211</v>
      </c>
      <c r="D1468" s="51">
        <v>15020</v>
      </c>
      <c r="E1468" s="143">
        <v>16056</v>
      </c>
      <c r="F1468" s="226">
        <v>18464</v>
      </c>
      <c r="G1468" s="143"/>
      <c r="H1468" s="143">
        <f t="shared" ref="H1468" si="1120">+G1468+F1468</f>
        <v>18464</v>
      </c>
      <c r="I1468" s="143"/>
      <c r="J1468" s="143">
        <f t="shared" ref="J1468" si="1121">+I1468+H1468</f>
        <v>18464</v>
      </c>
      <c r="K1468" s="143">
        <v>13877</v>
      </c>
      <c r="L1468" s="225">
        <v>19300</v>
      </c>
      <c r="M1468" s="335">
        <f t="shared" si="1083"/>
        <v>4.5277296360485268E-2</v>
      </c>
      <c r="N1468" s="329">
        <f t="shared" si="1082"/>
        <v>836</v>
      </c>
    </row>
    <row r="1469" spans="1:14" ht="14.1" customHeight="1">
      <c r="A1469" s="37"/>
      <c r="B1469" s="38">
        <v>55</v>
      </c>
      <c r="C1469" s="39" t="s">
        <v>702</v>
      </c>
      <c r="D1469" s="51">
        <v>17895</v>
      </c>
      <c r="E1469" s="137">
        <v>21415</v>
      </c>
      <c r="F1469" s="137">
        <f>+F1470+F1471+F1472+F1480+F1481+F1483+F1484+F1486</f>
        <v>19887</v>
      </c>
      <c r="G1469" s="137">
        <f t="shared" ref="G1469:H1469" si="1122">+G1470+G1471+G1472+G1480+G1481+G1483+G1484+G1486</f>
        <v>3030</v>
      </c>
      <c r="H1469" s="137">
        <f t="shared" si="1122"/>
        <v>22917</v>
      </c>
      <c r="I1469" s="137">
        <f t="shared" ref="I1469:J1469" si="1123">+I1470+I1471+I1472+I1480+I1481+I1483+I1484+I1486</f>
        <v>2500</v>
      </c>
      <c r="J1469" s="137">
        <f t="shared" si="1123"/>
        <v>25417</v>
      </c>
      <c r="K1469" s="137">
        <f>+K1470+K1471+K1472+K1480+K1481+K1483+K1484+K1486+K1485+K1482</f>
        <v>15819.73</v>
      </c>
      <c r="L1469" s="137">
        <f>+L1470+L1471+L1472+L1480+L1481+L1483+L1484+L1486</f>
        <v>28100</v>
      </c>
      <c r="M1469" s="335">
        <f t="shared" si="1083"/>
        <v>0.1055592713538183</v>
      </c>
      <c r="N1469" s="329">
        <f t="shared" si="1082"/>
        <v>2683</v>
      </c>
    </row>
    <row r="1470" spans="1:14" ht="14.1" customHeight="1">
      <c r="A1470" s="37"/>
      <c r="B1470" s="33">
        <v>5500</v>
      </c>
      <c r="C1470" s="40" t="s">
        <v>227</v>
      </c>
      <c r="D1470" s="52">
        <v>350</v>
      </c>
      <c r="E1470" s="17">
        <v>100</v>
      </c>
      <c r="F1470" s="226"/>
      <c r="G1470" s="17">
        <v>30</v>
      </c>
      <c r="H1470" s="17">
        <f>+F1470+G1470</f>
        <v>30</v>
      </c>
      <c r="I1470" s="17"/>
      <c r="J1470" s="17">
        <f>+H1470+I1470</f>
        <v>30</v>
      </c>
      <c r="K1470" s="17">
        <v>137</v>
      </c>
      <c r="L1470" s="226">
        <v>50</v>
      </c>
      <c r="M1470" s="335">
        <f t="shared" si="1083"/>
        <v>0.66666666666666663</v>
      </c>
      <c r="N1470" s="329">
        <f t="shared" si="1082"/>
        <v>20</v>
      </c>
    </row>
    <row r="1471" spans="1:14" ht="14.1" customHeight="1">
      <c r="A1471" s="37"/>
      <c r="B1471" s="33">
        <v>5504</v>
      </c>
      <c r="C1471" s="40" t="s">
        <v>462</v>
      </c>
      <c r="D1471" s="52">
        <v>120</v>
      </c>
      <c r="E1471" s="17">
        <v>0</v>
      </c>
      <c r="F1471" s="226"/>
      <c r="G1471" s="17"/>
      <c r="H1471" s="17">
        <f>+F1471+G1471</f>
        <v>0</v>
      </c>
      <c r="I1471" s="17"/>
      <c r="J1471" s="17">
        <f>+H1471+I1471</f>
        <v>0</v>
      </c>
      <c r="K1471" s="17"/>
      <c r="L1471" s="226"/>
      <c r="M1471" s="335" t="e">
        <f t="shared" si="1083"/>
        <v>#DIV/0!</v>
      </c>
      <c r="N1471" s="329">
        <f t="shared" si="1082"/>
        <v>0</v>
      </c>
    </row>
    <row r="1472" spans="1:14" ht="14.1" customHeight="1">
      <c r="A1472" s="37"/>
      <c r="B1472" s="33">
        <v>5511</v>
      </c>
      <c r="C1472" s="40" t="s">
        <v>219</v>
      </c>
      <c r="D1472" s="52">
        <v>6900</v>
      </c>
      <c r="E1472" s="17">
        <v>6600</v>
      </c>
      <c r="F1472" s="226">
        <f t="shared" ref="F1472" si="1124">SUM(F1473:F1479)</f>
        <v>7557</v>
      </c>
      <c r="G1472" s="17">
        <f t="shared" ref="G1472:H1472" si="1125">SUM(G1473:G1479)</f>
        <v>0</v>
      </c>
      <c r="H1472" s="17">
        <f t="shared" si="1125"/>
        <v>7557</v>
      </c>
      <c r="I1472" s="17">
        <f t="shared" ref="I1472:K1472" si="1126">SUM(I1473:I1479)</f>
        <v>-500</v>
      </c>
      <c r="J1472" s="17">
        <f t="shared" si="1126"/>
        <v>7057</v>
      </c>
      <c r="K1472" s="17">
        <f t="shared" si="1126"/>
        <v>4212</v>
      </c>
      <c r="L1472" s="226">
        <f>SUM(L1473:L1479)</f>
        <v>6800</v>
      </c>
      <c r="M1472" s="335">
        <f t="shared" si="1083"/>
        <v>-3.6417741249822874E-2</v>
      </c>
      <c r="N1472" s="329">
        <f t="shared" si="1082"/>
        <v>-257</v>
      </c>
    </row>
    <row r="1473" spans="1:14" s="150" customFormat="1" ht="14.1" customHeight="1">
      <c r="A1473" s="187"/>
      <c r="B1473" s="186"/>
      <c r="C1473" s="301" t="s">
        <v>407</v>
      </c>
      <c r="D1473" s="179">
        <v>2300</v>
      </c>
      <c r="E1473" s="182">
        <v>1300</v>
      </c>
      <c r="F1473" s="227">
        <v>2000</v>
      </c>
      <c r="G1473" s="182"/>
      <c r="H1473" s="182">
        <f t="shared" ref="H1473:H1478" si="1127">+F1473+G1473</f>
        <v>2000</v>
      </c>
      <c r="I1473" s="182">
        <v>-500</v>
      </c>
      <c r="J1473" s="182">
        <f t="shared" ref="J1473:J1478" si="1128">+H1473+I1473</f>
        <v>1500</v>
      </c>
      <c r="K1473" s="182">
        <v>535</v>
      </c>
      <c r="L1473" s="227">
        <v>1300</v>
      </c>
      <c r="M1473" s="335">
        <f t="shared" si="1083"/>
        <v>-0.13333333333333333</v>
      </c>
      <c r="N1473" s="329">
        <f t="shared" si="1082"/>
        <v>-200</v>
      </c>
    </row>
    <row r="1474" spans="1:14" s="150" customFormat="1" ht="14.1" customHeight="1">
      <c r="A1474" s="187"/>
      <c r="B1474" s="186"/>
      <c r="C1474" s="301" t="s">
        <v>408</v>
      </c>
      <c r="D1474" s="179">
        <v>2000</v>
      </c>
      <c r="E1474" s="182">
        <v>2000</v>
      </c>
      <c r="F1474" s="227">
        <v>3800</v>
      </c>
      <c r="G1474" s="182"/>
      <c r="H1474" s="182">
        <f t="shared" si="1127"/>
        <v>3800</v>
      </c>
      <c r="I1474" s="182"/>
      <c r="J1474" s="182">
        <f t="shared" si="1128"/>
        <v>3800</v>
      </c>
      <c r="K1474" s="182">
        <v>2464</v>
      </c>
      <c r="L1474" s="227">
        <v>3900</v>
      </c>
      <c r="M1474" s="335">
        <f t="shared" si="1083"/>
        <v>2.6315789473684209E-2</v>
      </c>
      <c r="N1474" s="329">
        <f t="shared" si="1082"/>
        <v>100</v>
      </c>
    </row>
    <row r="1475" spans="1:14" s="150" customFormat="1" ht="14.1" customHeight="1">
      <c r="A1475" s="187"/>
      <c r="B1475" s="186"/>
      <c r="C1475" s="301" t="s">
        <v>409</v>
      </c>
      <c r="D1475" s="179">
        <v>600</v>
      </c>
      <c r="E1475" s="182">
        <v>300</v>
      </c>
      <c r="F1475" s="227">
        <v>600</v>
      </c>
      <c r="G1475" s="182"/>
      <c r="H1475" s="182">
        <f t="shared" si="1127"/>
        <v>600</v>
      </c>
      <c r="I1475" s="182">
        <v>57</v>
      </c>
      <c r="J1475" s="182">
        <f t="shared" si="1128"/>
        <v>657</v>
      </c>
      <c r="K1475" s="182">
        <v>456</v>
      </c>
      <c r="L1475" s="227">
        <v>600</v>
      </c>
      <c r="M1475" s="335">
        <f t="shared" si="1083"/>
        <v>-8.6757990867579904E-2</v>
      </c>
      <c r="N1475" s="329">
        <f t="shared" si="1082"/>
        <v>-57</v>
      </c>
    </row>
    <row r="1476" spans="1:14" s="150" customFormat="1" ht="14.1" customHeight="1">
      <c r="A1476" s="187"/>
      <c r="B1476" s="186"/>
      <c r="C1476" s="301" t="s">
        <v>410</v>
      </c>
      <c r="D1476" s="179">
        <v>1000</v>
      </c>
      <c r="E1476" s="182">
        <v>100</v>
      </c>
      <c r="F1476" s="227">
        <v>100</v>
      </c>
      <c r="G1476" s="182"/>
      <c r="H1476" s="182">
        <f t="shared" si="1127"/>
        <v>100</v>
      </c>
      <c r="I1476" s="182"/>
      <c r="J1476" s="182">
        <f t="shared" si="1128"/>
        <v>100</v>
      </c>
      <c r="K1476" s="182">
        <v>73</v>
      </c>
      <c r="L1476" s="227">
        <v>500</v>
      </c>
      <c r="M1476" s="335">
        <f t="shared" si="1083"/>
        <v>4</v>
      </c>
      <c r="N1476" s="329">
        <f t="shared" si="1082"/>
        <v>400</v>
      </c>
    </row>
    <row r="1477" spans="1:14" s="150" customFormat="1" ht="14.1" customHeight="1">
      <c r="A1477" s="187"/>
      <c r="B1477" s="186"/>
      <c r="C1477" s="301" t="s">
        <v>411</v>
      </c>
      <c r="D1477" s="179">
        <v>300</v>
      </c>
      <c r="E1477" s="182">
        <v>300</v>
      </c>
      <c r="F1477" s="227">
        <v>500</v>
      </c>
      <c r="G1477" s="182"/>
      <c r="H1477" s="182">
        <f t="shared" si="1127"/>
        <v>500</v>
      </c>
      <c r="I1477" s="182"/>
      <c r="J1477" s="182">
        <f t="shared" si="1128"/>
        <v>500</v>
      </c>
      <c r="K1477" s="182">
        <v>286</v>
      </c>
      <c r="L1477" s="227">
        <v>500</v>
      </c>
      <c r="M1477" s="335">
        <f t="shared" si="1083"/>
        <v>0</v>
      </c>
      <c r="N1477" s="329">
        <f t="shared" si="1082"/>
        <v>0</v>
      </c>
    </row>
    <row r="1478" spans="1:14" s="150" customFormat="1" ht="14.1" customHeight="1">
      <c r="A1478" s="187"/>
      <c r="B1478" s="186"/>
      <c r="C1478" s="301" t="s">
        <v>414</v>
      </c>
      <c r="D1478" s="179">
        <v>700</v>
      </c>
      <c r="E1478" s="182">
        <v>2500</v>
      </c>
      <c r="F1478" s="227">
        <v>500</v>
      </c>
      <c r="G1478" s="182"/>
      <c r="H1478" s="182">
        <f t="shared" si="1127"/>
        <v>500</v>
      </c>
      <c r="I1478" s="182"/>
      <c r="J1478" s="182">
        <f t="shared" si="1128"/>
        <v>500</v>
      </c>
      <c r="K1478" s="182">
        <v>398</v>
      </c>
      <c r="L1478" s="227"/>
      <c r="M1478" s="335">
        <f t="shared" si="1083"/>
        <v>-1</v>
      </c>
      <c r="N1478" s="329">
        <f t="shared" ref="N1478:N1541" si="1129">L1478-J1478</f>
        <v>-500</v>
      </c>
    </row>
    <row r="1479" spans="1:14" s="150" customFormat="1" ht="14.1" customHeight="1">
      <c r="A1479" s="187"/>
      <c r="B1479" s="186"/>
      <c r="C1479" s="301" t="s">
        <v>415</v>
      </c>
      <c r="D1479" s="179">
        <v>0</v>
      </c>
      <c r="E1479" s="182">
        <v>100</v>
      </c>
      <c r="F1479" s="227">
        <v>57</v>
      </c>
      <c r="G1479" s="182"/>
      <c r="H1479" s="182">
        <f>+F1479+G1479</f>
        <v>57</v>
      </c>
      <c r="I1479" s="184">
        <v>-57</v>
      </c>
      <c r="J1479" s="182">
        <f>+H1479+I1479</f>
        <v>0</v>
      </c>
      <c r="K1479" s="182"/>
      <c r="L1479" s="227"/>
      <c r="M1479" s="335" t="e">
        <f t="shared" si="1083"/>
        <v>#DIV/0!</v>
      </c>
      <c r="N1479" s="329">
        <f t="shared" si="1129"/>
        <v>0</v>
      </c>
    </row>
    <row r="1480" spans="1:14" ht="14.1" customHeight="1">
      <c r="A1480" s="37"/>
      <c r="B1480" s="33">
        <v>5514</v>
      </c>
      <c r="C1480" s="34" t="s">
        <v>221</v>
      </c>
      <c r="D1480" s="52">
        <v>200</v>
      </c>
      <c r="E1480" s="17">
        <v>0</v>
      </c>
      <c r="F1480" s="226">
        <v>0</v>
      </c>
      <c r="G1480" s="17"/>
      <c r="H1480" s="17">
        <f>+F1480+G1480</f>
        <v>0</v>
      </c>
      <c r="I1480" s="17"/>
      <c r="J1480" s="17">
        <f>+H1480+I1480</f>
        <v>0</v>
      </c>
      <c r="K1480" s="17"/>
      <c r="L1480" s="226">
        <v>500</v>
      </c>
      <c r="M1480" s="335" t="e">
        <f t="shared" si="1083"/>
        <v>#DIV/0!</v>
      </c>
      <c r="N1480" s="329">
        <f t="shared" si="1129"/>
        <v>500</v>
      </c>
    </row>
    <row r="1481" spans="1:14" ht="14.1" customHeight="1">
      <c r="A1481" s="37"/>
      <c r="B1481" s="33">
        <v>5515</v>
      </c>
      <c r="C1481" s="34" t="s">
        <v>257</v>
      </c>
      <c r="D1481" s="52">
        <v>600</v>
      </c>
      <c r="E1481" s="17">
        <v>3940</v>
      </c>
      <c r="F1481" s="226">
        <v>3000</v>
      </c>
      <c r="G1481" s="17"/>
      <c r="H1481" s="17">
        <f>+F1481+G1481</f>
        <v>3000</v>
      </c>
      <c r="I1481" s="17"/>
      <c r="J1481" s="17">
        <f>+H1481+I1481</f>
        <v>3000</v>
      </c>
      <c r="K1481" s="17">
        <v>2484</v>
      </c>
      <c r="L1481" s="226">
        <v>4500</v>
      </c>
      <c r="M1481" s="335">
        <f t="shared" si="1083"/>
        <v>0.5</v>
      </c>
      <c r="N1481" s="329">
        <f t="shared" si="1129"/>
        <v>1500</v>
      </c>
    </row>
    <row r="1482" spans="1:14" ht="14.1" customHeight="1">
      <c r="A1482" s="37"/>
      <c r="B1482" s="33">
        <v>5516</v>
      </c>
      <c r="C1482" s="34" t="s">
        <v>365</v>
      </c>
      <c r="D1482" s="52"/>
      <c r="E1482" s="17"/>
      <c r="F1482" s="226"/>
      <c r="G1482" s="17"/>
      <c r="H1482" s="17"/>
      <c r="I1482" s="17"/>
      <c r="J1482" s="17"/>
      <c r="K1482" s="17">
        <v>85.73</v>
      </c>
      <c r="L1482" s="226"/>
      <c r="M1482" s="335" t="e">
        <f t="shared" si="1083"/>
        <v>#DIV/0!</v>
      </c>
      <c r="N1482" s="329">
        <f t="shared" si="1129"/>
        <v>0</v>
      </c>
    </row>
    <row r="1483" spans="1:14" ht="14.1" customHeight="1">
      <c r="A1483" s="37"/>
      <c r="B1483" s="33">
        <v>5521</v>
      </c>
      <c r="C1483" s="34" t="s">
        <v>418</v>
      </c>
      <c r="D1483" s="52">
        <v>9625</v>
      </c>
      <c r="E1483" s="17">
        <v>10625</v>
      </c>
      <c r="F1483" s="226">
        <v>9000</v>
      </c>
      <c r="G1483" s="194">
        <v>3000</v>
      </c>
      <c r="H1483" s="17">
        <f t="shared" ref="H1483:H1486" si="1130">+F1483+G1483</f>
        <v>12000</v>
      </c>
      <c r="I1483" s="17">
        <v>3000</v>
      </c>
      <c r="J1483" s="17">
        <f t="shared" ref="J1483:J1486" si="1131">+H1483+I1483</f>
        <v>15000</v>
      </c>
      <c r="K1483" s="17">
        <v>8992</v>
      </c>
      <c r="L1483" s="226">
        <v>16000</v>
      </c>
      <c r="M1483" s="335">
        <f t="shared" ref="M1483:M1546" si="1132">(L1483-J1483)/J1483</f>
        <v>6.6666666666666666E-2</v>
      </c>
      <c r="N1483" s="329">
        <f t="shared" si="1129"/>
        <v>1000</v>
      </c>
    </row>
    <row r="1484" spans="1:14" ht="14.1" customHeight="1">
      <c r="A1484" s="37"/>
      <c r="B1484" s="19">
        <v>5522</v>
      </c>
      <c r="C1484" s="34" t="s">
        <v>262</v>
      </c>
      <c r="D1484" s="52">
        <v>100</v>
      </c>
      <c r="E1484" s="17">
        <v>150</v>
      </c>
      <c r="F1484" s="226">
        <v>150</v>
      </c>
      <c r="G1484" s="17"/>
      <c r="H1484" s="17">
        <f t="shared" si="1130"/>
        <v>150</v>
      </c>
      <c r="I1484" s="17"/>
      <c r="J1484" s="17">
        <f t="shared" si="1131"/>
        <v>150</v>
      </c>
      <c r="K1484" s="17"/>
      <c r="L1484" s="226">
        <v>150</v>
      </c>
      <c r="M1484" s="335">
        <f t="shared" si="1132"/>
        <v>0</v>
      </c>
      <c r="N1484" s="329">
        <f t="shared" si="1129"/>
        <v>0</v>
      </c>
    </row>
    <row r="1485" spans="1:14" ht="14.1" customHeight="1">
      <c r="A1485" s="37"/>
      <c r="B1485" s="33">
        <v>5525</v>
      </c>
      <c r="C1485" s="40" t="s">
        <v>264</v>
      </c>
      <c r="D1485" s="52"/>
      <c r="E1485" s="95"/>
      <c r="F1485" s="226"/>
      <c r="G1485" s="17"/>
      <c r="H1485" s="17"/>
      <c r="I1485" s="17"/>
      <c r="J1485" s="17"/>
      <c r="K1485" s="17"/>
      <c r="L1485" s="226"/>
      <c r="M1485" s="335" t="e">
        <f t="shared" si="1132"/>
        <v>#DIV/0!</v>
      </c>
      <c r="N1485" s="329">
        <f t="shared" si="1129"/>
        <v>0</v>
      </c>
    </row>
    <row r="1486" spans="1:14" ht="14.1" customHeight="1">
      <c r="A1486" s="37"/>
      <c r="B1486" s="19">
        <v>5532</v>
      </c>
      <c r="C1486" s="34" t="s">
        <v>595</v>
      </c>
      <c r="D1486" s="52"/>
      <c r="E1486" s="95">
        <v>0</v>
      </c>
      <c r="F1486" s="226">
        <v>180</v>
      </c>
      <c r="G1486" s="17"/>
      <c r="H1486" s="17">
        <f t="shared" si="1130"/>
        <v>180</v>
      </c>
      <c r="I1486" s="17"/>
      <c r="J1486" s="17">
        <f t="shared" si="1131"/>
        <v>180</v>
      </c>
      <c r="K1486" s="17">
        <v>-91</v>
      </c>
      <c r="L1486" s="226">
        <v>100</v>
      </c>
      <c r="M1486" s="335">
        <f t="shared" si="1132"/>
        <v>-0.44444444444444442</v>
      </c>
      <c r="N1486" s="329">
        <f t="shared" si="1129"/>
        <v>-80</v>
      </c>
    </row>
    <row r="1487" spans="1:14" ht="14.1" customHeight="1">
      <c r="A1487" s="100" t="s">
        <v>703</v>
      </c>
      <c r="B1487" s="46"/>
      <c r="C1487" s="47" t="s">
        <v>704</v>
      </c>
      <c r="D1487" s="53">
        <v>79100</v>
      </c>
      <c r="E1487" s="50">
        <v>77166</v>
      </c>
      <c r="F1487" s="50">
        <f t="shared" ref="F1487" si="1133">+F1488+F1489</f>
        <v>79917</v>
      </c>
      <c r="G1487" s="50">
        <f t="shared" ref="G1487:H1487" si="1134">+G1488+G1489</f>
        <v>3000</v>
      </c>
      <c r="H1487" s="50">
        <f t="shared" si="1134"/>
        <v>82917</v>
      </c>
      <c r="I1487" s="50">
        <f t="shared" ref="I1487:J1487" si="1135">+I1488+I1489</f>
        <v>0</v>
      </c>
      <c r="J1487" s="50">
        <f t="shared" si="1135"/>
        <v>82917</v>
      </c>
      <c r="K1487" s="50">
        <f t="shared" ref="K1487:L1487" si="1136">+K1488+K1489</f>
        <v>58953.17</v>
      </c>
      <c r="L1487" s="50">
        <f t="shared" si="1136"/>
        <v>88400</v>
      </c>
      <c r="M1487" s="335">
        <f t="shared" si="1132"/>
        <v>6.6126367331186611E-2</v>
      </c>
      <c r="N1487" s="329">
        <f t="shared" si="1129"/>
        <v>5483</v>
      </c>
    </row>
    <row r="1488" spans="1:14" ht="14.1" customHeight="1">
      <c r="A1488" s="37"/>
      <c r="B1488" s="38">
        <v>50</v>
      </c>
      <c r="C1488" s="39" t="s">
        <v>211</v>
      </c>
      <c r="D1488" s="51">
        <v>27800</v>
      </c>
      <c r="E1488" s="143">
        <v>32820</v>
      </c>
      <c r="F1488" s="226">
        <v>33637</v>
      </c>
      <c r="G1488" s="143"/>
      <c r="H1488" s="143">
        <f t="shared" ref="H1488" si="1137">+G1488+F1488</f>
        <v>33637</v>
      </c>
      <c r="I1488" s="143"/>
      <c r="J1488" s="143">
        <f t="shared" ref="J1488" si="1138">+I1488+H1488</f>
        <v>33637</v>
      </c>
      <c r="K1488" s="143">
        <v>24296</v>
      </c>
      <c r="L1488" s="225">
        <v>35800</v>
      </c>
      <c r="M1488" s="335">
        <f t="shared" si="1132"/>
        <v>6.4304188839670595E-2</v>
      </c>
      <c r="N1488" s="329">
        <f t="shared" si="1129"/>
        <v>2163</v>
      </c>
    </row>
    <row r="1489" spans="1:14" ht="14.1" customHeight="1">
      <c r="A1489" s="37"/>
      <c r="B1489" s="38">
        <v>55</v>
      </c>
      <c r="C1489" s="39" t="s">
        <v>702</v>
      </c>
      <c r="D1489" s="51">
        <v>51300</v>
      </c>
      <c r="E1489" s="138">
        <v>44346</v>
      </c>
      <c r="F1489" s="138">
        <f>SUM(F1490:F1495)</f>
        <v>46280</v>
      </c>
      <c r="G1489" s="138">
        <f t="shared" ref="G1489:H1489" si="1139">SUM(G1490:G1495)</f>
        <v>3000</v>
      </c>
      <c r="H1489" s="138">
        <f t="shared" si="1139"/>
        <v>49280</v>
      </c>
      <c r="I1489" s="138">
        <f t="shared" ref="I1489:J1489" si="1140">SUM(I1490:I1495)</f>
        <v>0</v>
      </c>
      <c r="J1489" s="138">
        <f t="shared" si="1140"/>
        <v>49280</v>
      </c>
      <c r="K1489" s="138">
        <f t="shared" ref="K1489" si="1141">SUM(K1490:K1495)</f>
        <v>34657.17</v>
      </c>
      <c r="L1489" s="138">
        <f>SUM(L1490:L1495)</f>
        <v>52600</v>
      </c>
      <c r="M1489" s="335">
        <f t="shared" si="1132"/>
        <v>6.7370129870129872E-2</v>
      </c>
      <c r="N1489" s="329">
        <f t="shared" si="1129"/>
        <v>3320</v>
      </c>
    </row>
    <row r="1490" spans="1:14" ht="14.1" customHeight="1">
      <c r="A1490" s="37"/>
      <c r="B1490" s="33">
        <v>5511</v>
      </c>
      <c r="C1490" s="40" t="s">
        <v>219</v>
      </c>
      <c r="D1490" s="51"/>
      <c r="E1490" s="17">
        <v>0</v>
      </c>
      <c r="F1490" s="226">
        <v>400</v>
      </c>
      <c r="G1490" s="17"/>
      <c r="H1490" s="17">
        <f t="shared" ref="H1490:H1495" si="1142">+G1490+F1490</f>
        <v>400</v>
      </c>
      <c r="I1490" s="17"/>
      <c r="J1490" s="17">
        <f t="shared" ref="J1490:J1495" si="1143">+I1490+H1490</f>
        <v>400</v>
      </c>
      <c r="K1490" s="17">
        <v>242</v>
      </c>
      <c r="L1490" s="226">
        <v>1600</v>
      </c>
      <c r="M1490" s="335">
        <f t="shared" si="1132"/>
        <v>3</v>
      </c>
      <c r="N1490" s="329">
        <f t="shared" si="1129"/>
        <v>1200</v>
      </c>
    </row>
    <row r="1491" spans="1:14" ht="14.1" customHeight="1">
      <c r="A1491" s="37"/>
      <c r="B1491" s="33">
        <v>5514</v>
      </c>
      <c r="C1491" s="34" t="s">
        <v>221</v>
      </c>
      <c r="D1491" s="52">
        <v>360</v>
      </c>
      <c r="E1491" s="17">
        <v>360</v>
      </c>
      <c r="F1491" s="226">
        <v>400</v>
      </c>
      <c r="G1491" s="17"/>
      <c r="H1491" s="17">
        <f t="shared" si="1142"/>
        <v>400</v>
      </c>
      <c r="I1491" s="17">
        <v>20</v>
      </c>
      <c r="J1491" s="17">
        <f t="shared" si="1143"/>
        <v>420</v>
      </c>
      <c r="K1491" s="17">
        <v>418</v>
      </c>
      <c r="L1491" s="226">
        <v>500</v>
      </c>
      <c r="M1491" s="335">
        <f t="shared" si="1132"/>
        <v>0.19047619047619047</v>
      </c>
      <c r="N1491" s="329">
        <f t="shared" si="1129"/>
        <v>80</v>
      </c>
    </row>
    <row r="1492" spans="1:14" ht="14.1" customHeight="1">
      <c r="A1492" s="37"/>
      <c r="B1492" s="33">
        <v>5515</v>
      </c>
      <c r="C1492" s="34" t="s">
        <v>257</v>
      </c>
      <c r="D1492" s="52">
        <v>500</v>
      </c>
      <c r="E1492" s="17">
        <v>200</v>
      </c>
      <c r="F1492" s="226">
        <v>300</v>
      </c>
      <c r="G1492" s="17"/>
      <c r="H1492" s="17">
        <f t="shared" si="1142"/>
        <v>300</v>
      </c>
      <c r="I1492" s="17">
        <v>-20</v>
      </c>
      <c r="J1492" s="17">
        <f t="shared" si="1143"/>
        <v>280</v>
      </c>
      <c r="K1492" s="17">
        <v>143</v>
      </c>
      <c r="L1492" s="226">
        <v>300</v>
      </c>
      <c r="M1492" s="335">
        <f t="shared" si="1132"/>
        <v>7.1428571428571425E-2</v>
      </c>
      <c r="N1492" s="329">
        <f t="shared" si="1129"/>
        <v>20</v>
      </c>
    </row>
    <row r="1493" spans="1:14" ht="13.5" customHeight="1">
      <c r="A1493" s="37"/>
      <c r="B1493" s="33">
        <v>5521</v>
      </c>
      <c r="C1493" s="34" t="s">
        <v>418</v>
      </c>
      <c r="D1493" s="52">
        <v>50300</v>
      </c>
      <c r="E1493" s="17">
        <v>43576</v>
      </c>
      <c r="F1493" s="226">
        <v>45000</v>
      </c>
      <c r="G1493" s="194">
        <v>3000</v>
      </c>
      <c r="H1493" s="17">
        <f t="shared" si="1142"/>
        <v>48000</v>
      </c>
      <c r="I1493" s="17"/>
      <c r="J1493" s="17">
        <f t="shared" si="1143"/>
        <v>48000</v>
      </c>
      <c r="K1493" s="17">
        <v>33719</v>
      </c>
      <c r="L1493" s="226">
        <v>50000</v>
      </c>
      <c r="M1493" s="335">
        <f t="shared" si="1132"/>
        <v>4.1666666666666664E-2</v>
      </c>
      <c r="N1493" s="329">
        <f t="shared" si="1129"/>
        <v>2000</v>
      </c>
    </row>
    <row r="1494" spans="1:14" ht="13.5" customHeight="1">
      <c r="A1494" s="37"/>
      <c r="B1494" s="33">
        <v>5525</v>
      </c>
      <c r="C1494" s="40" t="s">
        <v>264</v>
      </c>
      <c r="D1494" s="52">
        <v>0</v>
      </c>
      <c r="E1494" s="17">
        <v>21</v>
      </c>
      <c r="F1494" s="226">
        <v>0</v>
      </c>
      <c r="G1494" s="17"/>
      <c r="H1494" s="17">
        <f t="shared" si="1142"/>
        <v>0</v>
      </c>
      <c r="I1494" s="17"/>
      <c r="J1494" s="17">
        <f t="shared" si="1143"/>
        <v>0</v>
      </c>
      <c r="K1494" s="17">
        <v>135.16999999999999</v>
      </c>
      <c r="L1494" s="226"/>
      <c r="M1494" s="335" t="e">
        <f t="shared" si="1132"/>
        <v>#DIV/0!</v>
      </c>
      <c r="N1494" s="329">
        <f t="shared" si="1129"/>
        <v>0</v>
      </c>
    </row>
    <row r="1495" spans="1:14" ht="14.1" customHeight="1">
      <c r="A1495" s="37"/>
      <c r="B1495" s="130">
        <v>5532</v>
      </c>
      <c r="C1495" s="102" t="s">
        <v>705</v>
      </c>
      <c r="D1495" s="52">
        <v>140</v>
      </c>
      <c r="E1495" s="17">
        <v>189</v>
      </c>
      <c r="F1495" s="226">
        <v>180</v>
      </c>
      <c r="G1495" s="17"/>
      <c r="H1495" s="17">
        <f t="shared" si="1142"/>
        <v>180</v>
      </c>
      <c r="I1495" s="17"/>
      <c r="J1495" s="17">
        <f t="shared" si="1143"/>
        <v>180</v>
      </c>
      <c r="K1495" s="17"/>
      <c r="L1495" s="226">
        <v>200</v>
      </c>
      <c r="M1495" s="335">
        <f t="shared" si="1132"/>
        <v>0.1111111111111111</v>
      </c>
      <c r="N1495" s="329">
        <f t="shared" si="1129"/>
        <v>20</v>
      </c>
    </row>
    <row r="1496" spans="1:14" ht="14.1" customHeight="1">
      <c r="A1496" s="45" t="s">
        <v>706</v>
      </c>
      <c r="B1496" s="46"/>
      <c r="C1496" s="47" t="s">
        <v>707</v>
      </c>
      <c r="D1496" s="53">
        <v>40528</v>
      </c>
      <c r="E1496" s="50">
        <v>57374</v>
      </c>
      <c r="F1496" s="50">
        <f t="shared" ref="F1496" si="1144">+F1497+F1498</f>
        <v>72166</v>
      </c>
      <c r="G1496" s="50">
        <f t="shared" ref="G1496:I1496" si="1145">+G1497+G1498</f>
        <v>4040</v>
      </c>
      <c r="H1496" s="50">
        <f>+H1497+H1498</f>
        <v>76206</v>
      </c>
      <c r="I1496" s="50">
        <f t="shared" si="1145"/>
        <v>-3000</v>
      </c>
      <c r="J1496" s="50">
        <f>+J1497+J1498</f>
        <v>73206</v>
      </c>
      <c r="K1496" s="50">
        <f>+K1497+K1498</f>
        <v>49426</v>
      </c>
      <c r="L1496" s="50">
        <f t="shared" ref="L1496" si="1146">+L1497+L1498</f>
        <v>76500</v>
      </c>
      <c r="M1496" s="335">
        <f t="shared" si="1132"/>
        <v>4.499631177772314E-2</v>
      </c>
      <c r="N1496" s="329">
        <f t="shared" si="1129"/>
        <v>3294</v>
      </c>
    </row>
    <row r="1497" spans="1:14" ht="14.1" customHeight="1">
      <c r="A1497" s="37"/>
      <c r="B1497" s="38">
        <v>50</v>
      </c>
      <c r="C1497" s="39" t="s">
        <v>211</v>
      </c>
      <c r="D1497" s="51">
        <v>18432</v>
      </c>
      <c r="E1497" s="143">
        <v>34523</v>
      </c>
      <c r="F1497" s="226">
        <v>41286</v>
      </c>
      <c r="G1497" s="194">
        <v>540</v>
      </c>
      <c r="H1497" s="143">
        <f>+F1497+G1497</f>
        <v>41826</v>
      </c>
      <c r="I1497" s="143"/>
      <c r="J1497" s="143">
        <f>+H1497+I1497</f>
        <v>41826</v>
      </c>
      <c r="K1497" s="143">
        <v>30976</v>
      </c>
      <c r="L1497" s="225">
        <v>44200</v>
      </c>
      <c r="M1497" s="335">
        <f t="shared" si="1132"/>
        <v>5.6758953760818631E-2</v>
      </c>
      <c r="N1497" s="329">
        <f t="shared" si="1129"/>
        <v>2374</v>
      </c>
    </row>
    <row r="1498" spans="1:14" ht="14.1" customHeight="1">
      <c r="A1498" s="37"/>
      <c r="B1498" s="38">
        <v>55</v>
      </c>
      <c r="C1498" s="39" t="s">
        <v>702</v>
      </c>
      <c r="D1498" s="51">
        <v>22096</v>
      </c>
      <c r="E1498" s="138">
        <v>22851</v>
      </c>
      <c r="F1498" s="138">
        <f>+F1499+F1501+F1502+F1505</f>
        <v>30880</v>
      </c>
      <c r="G1498" s="138">
        <f t="shared" ref="G1498:I1498" si="1147">+G1499+G1501+G1502+G1505</f>
        <v>3500</v>
      </c>
      <c r="H1498" s="138">
        <f>+H1499+H1501+H1502+H1505</f>
        <v>34380</v>
      </c>
      <c r="I1498" s="138">
        <f t="shared" si="1147"/>
        <v>-3000</v>
      </c>
      <c r="J1498" s="138">
        <f t="shared" ref="J1498:K1498" si="1148">+J1499+J1501+J1502+J1505+J1500+J1503+J1504</f>
        <v>31380</v>
      </c>
      <c r="K1498" s="138">
        <f t="shared" si="1148"/>
        <v>18450</v>
      </c>
      <c r="L1498" s="138">
        <f>+L1499+L1501+L1502+L1505+L1500+L1503+L1504</f>
        <v>32300</v>
      </c>
      <c r="M1498" s="335">
        <f t="shared" si="1132"/>
        <v>2.9318036966220522E-2</v>
      </c>
      <c r="N1498" s="329">
        <f t="shared" si="1129"/>
        <v>920</v>
      </c>
    </row>
    <row r="1499" spans="1:14" ht="14.1" customHeight="1">
      <c r="A1499" s="37"/>
      <c r="B1499" s="33">
        <v>5511</v>
      </c>
      <c r="C1499" s="40" t="s">
        <v>219</v>
      </c>
      <c r="D1499" s="52"/>
      <c r="E1499" s="17">
        <v>41</v>
      </c>
      <c r="F1499" s="226">
        <v>200</v>
      </c>
      <c r="G1499" s="194">
        <v>500</v>
      </c>
      <c r="H1499" s="17">
        <f t="shared" ref="H1499:H1505" si="1149">+G1499+F1499</f>
        <v>700</v>
      </c>
      <c r="I1499" s="17"/>
      <c r="J1499" s="17">
        <f t="shared" ref="J1499:J1505" si="1150">+I1499+H1499</f>
        <v>700</v>
      </c>
      <c r="K1499" s="17">
        <v>428</v>
      </c>
      <c r="L1499" s="226">
        <v>2000</v>
      </c>
      <c r="M1499" s="335">
        <f t="shared" si="1132"/>
        <v>1.8571428571428572</v>
      </c>
      <c r="N1499" s="329">
        <f t="shared" si="1129"/>
        <v>1300</v>
      </c>
    </row>
    <row r="1500" spans="1:14" ht="14.1" customHeight="1">
      <c r="A1500" s="37"/>
      <c r="B1500" s="33">
        <v>5514</v>
      </c>
      <c r="C1500" s="34" t="s">
        <v>221</v>
      </c>
      <c r="D1500" s="52"/>
      <c r="E1500" s="17"/>
      <c r="F1500" s="226"/>
      <c r="G1500" s="194"/>
      <c r="H1500" s="17"/>
      <c r="I1500" s="17"/>
      <c r="J1500" s="17"/>
      <c r="K1500" s="17"/>
      <c r="L1500" s="226">
        <v>500</v>
      </c>
      <c r="M1500" s="335" t="e">
        <f t="shared" si="1132"/>
        <v>#DIV/0!</v>
      </c>
      <c r="N1500" s="329">
        <f t="shared" si="1129"/>
        <v>500</v>
      </c>
    </row>
    <row r="1501" spans="1:14" ht="14.1" customHeight="1">
      <c r="A1501" s="37"/>
      <c r="B1501" s="33">
        <v>5515</v>
      </c>
      <c r="C1501" s="34" t="s">
        <v>257</v>
      </c>
      <c r="D1501" s="52"/>
      <c r="E1501" s="17">
        <v>1202</v>
      </c>
      <c r="F1501" s="226">
        <v>5500</v>
      </c>
      <c r="G1501" s="17"/>
      <c r="H1501" s="17">
        <f t="shared" si="1149"/>
        <v>5500</v>
      </c>
      <c r="I1501" s="17"/>
      <c r="J1501" s="17">
        <f t="shared" si="1150"/>
        <v>5500</v>
      </c>
      <c r="K1501" s="17">
        <v>2338</v>
      </c>
      <c r="L1501" s="226">
        <v>1500</v>
      </c>
      <c r="M1501" s="335">
        <f t="shared" si="1132"/>
        <v>-0.72727272727272729</v>
      </c>
      <c r="N1501" s="329">
        <f t="shared" si="1129"/>
        <v>-4000</v>
      </c>
    </row>
    <row r="1502" spans="1:14" ht="14.1" customHeight="1">
      <c r="A1502" s="37"/>
      <c r="B1502" s="33">
        <v>5521</v>
      </c>
      <c r="C1502" s="34" t="s">
        <v>418</v>
      </c>
      <c r="D1502" s="52">
        <v>22096</v>
      </c>
      <c r="E1502" s="17">
        <v>21608</v>
      </c>
      <c r="F1502" s="226">
        <v>25000</v>
      </c>
      <c r="G1502" s="17">
        <v>3000</v>
      </c>
      <c r="H1502" s="17">
        <f t="shared" si="1149"/>
        <v>28000</v>
      </c>
      <c r="I1502" s="17">
        <v>-3000</v>
      </c>
      <c r="J1502" s="17">
        <f t="shared" si="1150"/>
        <v>25000</v>
      </c>
      <c r="K1502" s="17">
        <v>15684</v>
      </c>
      <c r="L1502" s="226">
        <v>28000</v>
      </c>
      <c r="M1502" s="335">
        <f t="shared" si="1132"/>
        <v>0.12</v>
      </c>
      <c r="N1502" s="329">
        <f t="shared" si="1129"/>
        <v>3000</v>
      </c>
    </row>
    <row r="1503" spans="1:14" ht="14.1" customHeight="1">
      <c r="A1503" s="37"/>
      <c r="B1503" s="33">
        <v>5522</v>
      </c>
      <c r="C1503" s="34" t="s">
        <v>262</v>
      </c>
      <c r="D1503" s="52"/>
      <c r="E1503" s="17"/>
      <c r="F1503" s="226"/>
      <c r="G1503" s="17"/>
      <c r="H1503" s="17"/>
      <c r="I1503" s="17"/>
      <c r="J1503" s="17"/>
      <c r="K1503" s="17"/>
      <c r="L1503" s="226">
        <v>150</v>
      </c>
      <c r="M1503" s="335" t="e">
        <f t="shared" si="1132"/>
        <v>#DIV/0!</v>
      </c>
      <c r="N1503" s="329">
        <f t="shared" si="1129"/>
        <v>150</v>
      </c>
    </row>
    <row r="1504" spans="1:14" ht="14.1" customHeight="1">
      <c r="A1504" s="37"/>
      <c r="B1504" s="33">
        <v>5525</v>
      </c>
      <c r="C1504" s="40" t="s">
        <v>264</v>
      </c>
      <c r="D1504" s="52">
        <v>0</v>
      </c>
      <c r="E1504" s="17">
        <v>21</v>
      </c>
      <c r="F1504" s="226">
        <v>0</v>
      </c>
      <c r="G1504" s="17"/>
      <c r="H1504" s="17">
        <f t="shared" si="1149"/>
        <v>0</v>
      </c>
      <c r="I1504" s="17"/>
      <c r="J1504" s="17">
        <f t="shared" si="1150"/>
        <v>0</v>
      </c>
      <c r="K1504" s="17"/>
      <c r="L1504" s="226"/>
      <c r="M1504" s="335" t="e">
        <f t="shared" si="1132"/>
        <v>#DIV/0!</v>
      </c>
      <c r="N1504" s="329">
        <f t="shared" si="1129"/>
        <v>0</v>
      </c>
    </row>
    <row r="1505" spans="1:14" ht="14.1" customHeight="1">
      <c r="A1505" s="37"/>
      <c r="B1505" s="130">
        <v>5532</v>
      </c>
      <c r="C1505" s="102" t="s">
        <v>705</v>
      </c>
      <c r="D1505" s="52"/>
      <c r="E1505" s="95"/>
      <c r="F1505" s="226">
        <v>180</v>
      </c>
      <c r="G1505" s="17"/>
      <c r="H1505" s="17">
        <f t="shared" si="1149"/>
        <v>180</v>
      </c>
      <c r="I1505" s="17"/>
      <c r="J1505" s="17">
        <f t="shared" si="1150"/>
        <v>180</v>
      </c>
      <c r="K1505" s="17"/>
      <c r="L1505" s="226">
        <v>150</v>
      </c>
      <c r="M1505" s="335">
        <f t="shared" si="1132"/>
        <v>-0.16666666666666666</v>
      </c>
      <c r="N1505" s="329">
        <f t="shared" si="1129"/>
        <v>-30</v>
      </c>
    </row>
    <row r="1506" spans="1:14" ht="14.1" customHeight="1">
      <c r="A1506" s="101" t="s">
        <v>708</v>
      </c>
      <c r="B1506" s="46"/>
      <c r="C1506" s="47" t="s">
        <v>709</v>
      </c>
      <c r="D1506" s="53">
        <v>95500</v>
      </c>
      <c r="E1506" s="50">
        <v>98662</v>
      </c>
      <c r="F1506" s="50">
        <f t="shared" ref="F1506" si="1151">+F1507+F1508</f>
        <v>135481</v>
      </c>
      <c r="G1506" s="50">
        <f t="shared" ref="G1506:H1506" si="1152">+G1507+G1508</f>
        <v>-10800</v>
      </c>
      <c r="H1506" s="50">
        <f t="shared" si="1152"/>
        <v>124681</v>
      </c>
      <c r="I1506" s="50">
        <f t="shared" ref="I1506:J1506" si="1153">+I1507+I1508</f>
        <v>0</v>
      </c>
      <c r="J1506" s="50">
        <f t="shared" si="1153"/>
        <v>124681</v>
      </c>
      <c r="K1506" s="50">
        <f t="shared" ref="K1506:L1506" si="1154">+K1507+K1508</f>
        <v>86944</v>
      </c>
      <c r="L1506" s="50">
        <f t="shared" si="1154"/>
        <v>123500</v>
      </c>
      <c r="M1506" s="335">
        <f t="shared" si="1132"/>
        <v>-9.4721729854588908E-3</v>
      </c>
      <c r="N1506" s="329">
        <f t="shared" si="1129"/>
        <v>-1181</v>
      </c>
    </row>
    <row r="1507" spans="1:14" ht="14.1" customHeight="1">
      <c r="A1507" s="37"/>
      <c r="B1507" s="38">
        <v>50</v>
      </c>
      <c r="C1507" s="39" t="s">
        <v>211</v>
      </c>
      <c r="D1507" s="51">
        <v>68000</v>
      </c>
      <c r="E1507" s="143">
        <v>70650</v>
      </c>
      <c r="F1507" s="226">
        <v>85940</v>
      </c>
      <c r="G1507" s="143"/>
      <c r="H1507" s="143">
        <f t="shared" ref="H1507" si="1155">+G1507+F1507</f>
        <v>85940</v>
      </c>
      <c r="I1507" s="143"/>
      <c r="J1507" s="143">
        <f t="shared" ref="J1507" si="1156">+I1507+H1507</f>
        <v>85940</v>
      </c>
      <c r="K1507" s="143">
        <v>63283</v>
      </c>
      <c r="L1507" s="225">
        <v>80500</v>
      </c>
      <c r="M1507" s="335">
        <f t="shared" si="1132"/>
        <v>-6.3299976727949736E-2</v>
      </c>
      <c r="N1507" s="329">
        <f t="shared" si="1129"/>
        <v>-5440</v>
      </c>
    </row>
    <row r="1508" spans="1:14" ht="14.1" customHeight="1">
      <c r="A1508" s="37"/>
      <c r="B1508" s="38">
        <v>55</v>
      </c>
      <c r="C1508" s="39" t="s">
        <v>702</v>
      </c>
      <c r="D1508" s="51">
        <v>27500</v>
      </c>
      <c r="E1508" s="137">
        <v>28012</v>
      </c>
      <c r="F1508" s="137">
        <f t="shared" ref="F1508:K1508" si="1157">+F1509+F1510+F1520+F1521+F1522</f>
        <v>49541</v>
      </c>
      <c r="G1508" s="137">
        <f t="shared" si="1157"/>
        <v>-10800</v>
      </c>
      <c r="H1508" s="137">
        <f t="shared" si="1157"/>
        <v>38741</v>
      </c>
      <c r="I1508" s="137">
        <f t="shared" si="1157"/>
        <v>0</v>
      </c>
      <c r="J1508" s="137">
        <f t="shared" si="1157"/>
        <v>38741</v>
      </c>
      <c r="K1508" s="137">
        <f t="shared" si="1157"/>
        <v>23661</v>
      </c>
      <c r="L1508" s="137">
        <f t="shared" ref="L1508" si="1158">+L1509+L1510+L1520+L1521+L1522</f>
        <v>43000</v>
      </c>
      <c r="M1508" s="335">
        <f t="shared" si="1132"/>
        <v>0.1099352107586278</v>
      </c>
      <c r="N1508" s="329">
        <f t="shared" si="1129"/>
        <v>4259</v>
      </c>
    </row>
    <row r="1509" spans="1:14" s="8" customFormat="1" ht="14.1" customHeight="1">
      <c r="A1509" s="32"/>
      <c r="B1509" s="33">
        <v>5500</v>
      </c>
      <c r="C1509" s="40" t="s">
        <v>227</v>
      </c>
      <c r="D1509" s="52">
        <v>0</v>
      </c>
      <c r="E1509" s="17">
        <v>12</v>
      </c>
      <c r="F1509" s="226">
        <v>20</v>
      </c>
      <c r="G1509" s="17"/>
      <c r="H1509" s="17">
        <f>+F1509+G1509</f>
        <v>20</v>
      </c>
      <c r="I1509" s="17"/>
      <c r="J1509" s="17">
        <f>+H1509+I1509</f>
        <v>20</v>
      </c>
      <c r="K1509" s="20">
        <v>10</v>
      </c>
      <c r="L1509" s="226">
        <v>50</v>
      </c>
      <c r="M1509" s="335">
        <f t="shared" si="1132"/>
        <v>1.5</v>
      </c>
      <c r="N1509" s="329">
        <f t="shared" si="1129"/>
        <v>30</v>
      </c>
    </row>
    <row r="1510" spans="1:14" ht="14.1" customHeight="1">
      <c r="A1510" s="37"/>
      <c r="B1510" s="33" t="s">
        <v>231</v>
      </c>
      <c r="C1510" s="34" t="s">
        <v>219</v>
      </c>
      <c r="D1510" s="52">
        <v>23400</v>
      </c>
      <c r="E1510" s="17">
        <v>27300</v>
      </c>
      <c r="F1510" s="226">
        <f t="shared" ref="F1510:K1510" si="1159">SUM(F1511:F1519)</f>
        <v>48521</v>
      </c>
      <c r="G1510" s="17">
        <f t="shared" si="1159"/>
        <v>-10800</v>
      </c>
      <c r="H1510" s="17">
        <f t="shared" si="1159"/>
        <v>37721</v>
      </c>
      <c r="I1510" s="17">
        <f t="shared" si="1159"/>
        <v>0</v>
      </c>
      <c r="J1510" s="17">
        <f t="shared" si="1159"/>
        <v>37721</v>
      </c>
      <c r="K1510" s="17">
        <f t="shared" si="1159"/>
        <v>22402</v>
      </c>
      <c r="L1510" s="226">
        <f t="shared" ref="L1510" si="1160">SUM(L1511:L1519)</f>
        <v>41800</v>
      </c>
      <c r="M1510" s="335">
        <f t="shared" si="1132"/>
        <v>0.10813605153627953</v>
      </c>
      <c r="N1510" s="329">
        <f t="shared" si="1129"/>
        <v>4079</v>
      </c>
    </row>
    <row r="1511" spans="1:14" s="8" customFormat="1" ht="14.1" customHeight="1">
      <c r="A1511" s="188"/>
      <c r="B1511" s="186"/>
      <c r="C1511" s="178" t="s">
        <v>407</v>
      </c>
      <c r="D1511" s="179">
        <v>15600</v>
      </c>
      <c r="E1511" s="182">
        <v>15600</v>
      </c>
      <c r="F1511" s="227">
        <v>25000</v>
      </c>
      <c r="G1511" s="182">
        <v>-15000</v>
      </c>
      <c r="H1511" s="182">
        <f>+F1511+G1511</f>
        <v>10000</v>
      </c>
      <c r="I1511" s="182"/>
      <c r="J1511" s="182">
        <f>+H1511+I1511</f>
        <v>10000</v>
      </c>
      <c r="K1511" s="182">
        <v>4533</v>
      </c>
      <c r="L1511" s="227">
        <v>12000</v>
      </c>
      <c r="M1511" s="335">
        <f t="shared" si="1132"/>
        <v>0.2</v>
      </c>
      <c r="N1511" s="329">
        <f t="shared" si="1129"/>
        <v>2000</v>
      </c>
    </row>
    <row r="1512" spans="1:14" s="8" customFormat="1" ht="14.1" customHeight="1">
      <c r="A1512" s="188"/>
      <c r="B1512" s="186"/>
      <c r="C1512" s="178" t="s">
        <v>408</v>
      </c>
      <c r="D1512" s="179">
        <v>4500</v>
      </c>
      <c r="E1512" s="182">
        <v>8400</v>
      </c>
      <c r="F1512" s="227">
        <v>12000</v>
      </c>
      <c r="G1512" s="182"/>
      <c r="H1512" s="182">
        <f t="shared" ref="H1512:H1519" si="1161">+F1512+G1512</f>
        <v>12000</v>
      </c>
      <c r="I1512" s="182"/>
      <c r="J1512" s="182">
        <f t="shared" ref="J1512:J1519" si="1162">+H1512+I1512</f>
        <v>12000</v>
      </c>
      <c r="K1512" s="182">
        <v>9739</v>
      </c>
      <c r="L1512" s="227">
        <v>13000</v>
      </c>
      <c r="M1512" s="335">
        <f t="shared" si="1132"/>
        <v>8.3333333333333329E-2</v>
      </c>
      <c r="N1512" s="329">
        <f t="shared" si="1129"/>
        <v>1000</v>
      </c>
    </row>
    <row r="1513" spans="1:14" s="8" customFormat="1" ht="14.1" customHeight="1">
      <c r="A1513" s="188"/>
      <c r="B1513" s="186"/>
      <c r="C1513" s="178" t="s">
        <v>409</v>
      </c>
      <c r="D1513" s="179">
        <v>2000</v>
      </c>
      <c r="E1513" s="182">
        <v>2000</v>
      </c>
      <c r="F1513" s="227">
        <v>3000</v>
      </c>
      <c r="G1513" s="182">
        <v>500</v>
      </c>
      <c r="H1513" s="182">
        <f t="shared" si="1161"/>
        <v>3500</v>
      </c>
      <c r="I1513" s="182"/>
      <c r="J1513" s="182">
        <f t="shared" si="1162"/>
        <v>3500</v>
      </c>
      <c r="K1513" s="182">
        <v>2555</v>
      </c>
      <c r="L1513" s="227">
        <v>3500</v>
      </c>
      <c r="M1513" s="335">
        <f t="shared" si="1132"/>
        <v>0</v>
      </c>
      <c r="N1513" s="329">
        <f t="shared" si="1129"/>
        <v>0</v>
      </c>
    </row>
    <row r="1514" spans="1:14" s="8" customFormat="1" ht="13.5" customHeight="1">
      <c r="A1514" s="188"/>
      <c r="B1514" s="186"/>
      <c r="C1514" s="178" t="s">
        <v>410</v>
      </c>
      <c r="D1514" s="179"/>
      <c r="E1514" s="182"/>
      <c r="F1514" s="227">
        <v>3000</v>
      </c>
      <c r="G1514" s="243">
        <v>3500</v>
      </c>
      <c r="H1514" s="182">
        <f t="shared" si="1161"/>
        <v>6500</v>
      </c>
      <c r="I1514" s="182"/>
      <c r="J1514" s="182">
        <f t="shared" si="1162"/>
        <v>6500</v>
      </c>
      <c r="K1514" s="182">
        <v>4164</v>
      </c>
      <c r="L1514" s="227">
        <v>6500</v>
      </c>
      <c r="M1514" s="335">
        <f t="shared" si="1132"/>
        <v>0</v>
      </c>
      <c r="N1514" s="329">
        <f t="shared" si="1129"/>
        <v>0</v>
      </c>
    </row>
    <row r="1515" spans="1:14" s="8" customFormat="1" ht="14.1" customHeight="1">
      <c r="A1515" s="188"/>
      <c r="B1515" s="186"/>
      <c r="C1515" s="178" t="s">
        <v>411</v>
      </c>
      <c r="D1515" s="179">
        <v>500</v>
      </c>
      <c r="E1515" s="182">
        <v>500</v>
      </c>
      <c r="F1515" s="227">
        <v>2100</v>
      </c>
      <c r="G1515" s="182"/>
      <c r="H1515" s="182">
        <f t="shared" si="1161"/>
        <v>2100</v>
      </c>
      <c r="I1515" s="182"/>
      <c r="J1515" s="182">
        <f t="shared" si="1162"/>
        <v>2100</v>
      </c>
      <c r="K1515" s="182">
        <v>531</v>
      </c>
      <c r="L1515" s="227">
        <v>2200</v>
      </c>
      <c r="M1515" s="335">
        <f t="shared" si="1132"/>
        <v>4.7619047619047616E-2</v>
      </c>
      <c r="N1515" s="329">
        <f t="shared" si="1129"/>
        <v>100</v>
      </c>
    </row>
    <row r="1516" spans="1:14" s="8" customFormat="1" ht="14.1" customHeight="1">
      <c r="A1516" s="188"/>
      <c r="B1516" s="186"/>
      <c r="C1516" s="178" t="s">
        <v>412</v>
      </c>
      <c r="D1516" s="179">
        <v>600</v>
      </c>
      <c r="E1516" s="182">
        <v>600</v>
      </c>
      <c r="F1516" s="227">
        <v>1000</v>
      </c>
      <c r="G1516" s="182">
        <v>200</v>
      </c>
      <c r="H1516" s="182">
        <f t="shared" si="1161"/>
        <v>1200</v>
      </c>
      <c r="I1516" s="182"/>
      <c r="J1516" s="182">
        <f t="shared" si="1162"/>
        <v>1200</v>
      </c>
      <c r="K1516" s="182">
        <v>646</v>
      </c>
      <c r="L1516" s="227">
        <v>1300</v>
      </c>
      <c r="M1516" s="335">
        <f t="shared" si="1132"/>
        <v>8.3333333333333329E-2</v>
      </c>
      <c r="N1516" s="329">
        <f t="shared" si="1129"/>
        <v>100</v>
      </c>
    </row>
    <row r="1517" spans="1:14" s="8" customFormat="1" ht="14.1" customHeight="1">
      <c r="A1517" s="188"/>
      <c r="B1517" s="186"/>
      <c r="C1517" s="178" t="s">
        <v>710</v>
      </c>
      <c r="D1517" s="179">
        <v>0</v>
      </c>
      <c r="E1517" s="182">
        <v>0</v>
      </c>
      <c r="F1517" s="227">
        <v>2000</v>
      </c>
      <c r="G1517" s="182"/>
      <c r="H1517" s="182">
        <f t="shared" si="1161"/>
        <v>2000</v>
      </c>
      <c r="I1517" s="182"/>
      <c r="J1517" s="182">
        <f t="shared" si="1162"/>
        <v>2000</v>
      </c>
      <c r="K1517" s="182"/>
      <c r="L1517" s="227">
        <v>3050</v>
      </c>
      <c r="M1517" s="335">
        <f t="shared" si="1132"/>
        <v>0.52500000000000002</v>
      </c>
      <c r="N1517" s="329">
        <f t="shared" si="1129"/>
        <v>1050</v>
      </c>
    </row>
    <row r="1518" spans="1:14" s="8" customFormat="1" ht="14.1" customHeight="1">
      <c r="A1518" s="188"/>
      <c r="B1518" s="186"/>
      <c r="C1518" s="178" t="s">
        <v>415</v>
      </c>
      <c r="D1518" s="179">
        <v>200</v>
      </c>
      <c r="E1518" s="182">
        <v>200</v>
      </c>
      <c r="F1518" s="227">
        <v>221</v>
      </c>
      <c r="G1518" s="182"/>
      <c r="H1518" s="182">
        <f t="shared" si="1161"/>
        <v>221</v>
      </c>
      <c r="I1518" s="182">
        <v>6</v>
      </c>
      <c r="J1518" s="182">
        <f t="shared" si="1162"/>
        <v>227</v>
      </c>
      <c r="K1518" s="182">
        <v>227</v>
      </c>
      <c r="L1518" s="227">
        <v>250</v>
      </c>
      <c r="M1518" s="335">
        <f t="shared" si="1132"/>
        <v>0.1013215859030837</v>
      </c>
      <c r="N1518" s="329">
        <f t="shared" si="1129"/>
        <v>23</v>
      </c>
    </row>
    <row r="1519" spans="1:14" s="8" customFormat="1" ht="14.1" customHeight="1">
      <c r="A1519" s="188"/>
      <c r="B1519" s="186"/>
      <c r="C1519" s="178" t="s">
        <v>661</v>
      </c>
      <c r="D1519" s="179"/>
      <c r="E1519" s="182"/>
      <c r="F1519" s="227">
        <v>200</v>
      </c>
      <c r="G1519" s="182"/>
      <c r="H1519" s="182">
        <f t="shared" si="1161"/>
        <v>200</v>
      </c>
      <c r="I1519" s="182">
        <v>-6</v>
      </c>
      <c r="J1519" s="182">
        <f t="shared" si="1162"/>
        <v>194</v>
      </c>
      <c r="K1519" s="182">
        <v>7</v>
      </c>
      <c r="L1519" s="227"/>
      <c r="M1519" s="335">
        <f t="shared" si="1132"/>
        <v>-1</v>
      </c>
      <c r="N1519" s="329">
        <f t="shared" si="1129"/>
        <v>-194</v>
      </c>
    </row>
    <row r="1520" spans="1:14" ht="12.6">
      <c r="A1520" s="37"/>
      <c r="B1520" s="33">
        <v>5515</v>
      </c>
      <c r="C1520" s="34" t="s">
        <v>257</v>
      </c>
      <c r="D1520" s="52">
        <v>3000</v>
      </c>
      <c r="E1520" s="17">
        <v>700</v>
      </c>
      <c r="F1520" s="226">
        <v>1000</v>
      </c>
      <c r="G1520" s="17"/>
      <c r="H1520" s="17">
        <f t="shared" ref="H1520:H1522" si="1163">+G1520+F1520</f>
        <v>1000</v>
      </c>
      <c r="I1520" s="17"/>
      <c r="J1520" s="17">
        <f t="shared" ref="J1520:J1522" si="1164">+I1520+H1520</f>
        <v>1000</v>
      </c>
      <c r="K1520" s="17">
        <v>1249</v>
      </c>
      <c r="L1520" s="226">
        <v>1150</v>
      </c>
      <c r="M1520" s="335">
        <f t="shared" si="1132"/>
        <v>0.15</v>
      </c>
      <c r="N1520" s="329">
        <f t="shared" si="1129"/>
        <v>150</v>
      </c>
    </row>
    <row r="1521" spans="1:14" ht="12.6">
      <c r="A1521" s="37"/>
      <c r="B1521" s="33">
        <v>5516</v>
      </c>
      <c r="C1521" s="34" t="s">
        <v>365</v>
      </c>
      <c r="D1521" s="52">
        <v>0</v>
      </c>
      <c r="E1521" s="17">
        <v>0</v>
      </c>
      <c r="F1521" s="226">
        <v>0</v>
      </c>
      <c r="G1521" s="17"/>
      <c r="H1521" s="17">
        <f t="shared" si="1163"/>
        <v>0</v>
      </c>
      <c r="I1521" s="17"/>
      <c r="J1521" s="17">
        <f t="shared" si="1164"/>
        <v>0</v>
      </c>
      <c r="K1521" s="17"/>
      <c r="L1521" s="226"/>
      <c r="M1521" s="335" t="e">
        <f t="shared" si="1132"/>
        <v>#DIV/0!</v>
      </c>
      <c r="N1521" s="329">
        <f t="shared" si="1129"/>
        <v>0</v>
      </c>
    </row>
    <row r="1522" spans="1:14" ht="12.6">
      <c r="A1522" s="37"/>
      <c r="B1522" s="33">
        <v>5540</v>
      </c>
      <c r="C1522" s="34" t="s">
        <v>348</v>
      </c>
      <c r="D1522" s="52">
        <v>1100</v>
      </c>
      <c r="E1522" s="17">
        <v>0</v>
      </c>
      <c r="F1522" s="226">
        <v>0</v>
      </c>
      <c r="G1522" s="17"/>
      <c r="H1522" s="17">
        <f t="shared" si="1163"/>
        <v>0</v>
      </c>
      <c r="I1522" s="17"/>
      <c r="J1522" s="17">
        <f t="shared" si="1164"/>
        <v>0</v>
      </c>
      <c r="K1522" s="17"/>
      <c r="L1522" s="226"/>
      <c r="M1522" s="335" t="e">
        <f t="shared" si="1132"/>
        <v>#DIV/0!</v>
      </c>
      <c r="N1522" s="329">
        <f t="shared" si="1129"/>
        <v>0</v>
      </c>
    </row>
    <row r="1523" spans="1:14" ht="12.6">
      <c r="A1523" s="56" t="s">
        <v>711</v>
      </c>
      <c r="B1523" s="46"/>
      <c r="C1523" s="47" t="s">
        <v>712</v>
      </c>
      <c r="D1523" s="53">
        <v>1500</v>
      </c>
      <c r="E1523" s="54">
        <v>1630</v>
      </c>
      <c r="F1523" s="54">
        <f t="shared" ref="F1523:L1523" si="1165">+F1524</f>
        <v>0</v>
      </c>
      <c r="G1523" s="54">
        <f t="shared" si="1165"/>
        <v>0</v>
      </c>
      <c r="H1523" s="54">
        <f t="shared" si="1165"/>
        <v>0</v>
      </c>
      <c r="I1523" s="54">
        <f t="shared" si="1165"/>
        <v>0</v>
      </c>
      <c r="J1523" s="54">
        <f t="shared" si="1165"/>
        <v>0</v>
      </c>
      <c r="K1523" s="54">
        <f t="shared" si="1165"/>
        <v>150</v>
      </c>
      <c r="L1523" s="54">
        <f t="shared" si="1165"/>
        <v>0</v>
      </c>
      <c r="M1523" s="335" t="e">
        <f t="shared" si="1132"/>
        <v>#DIV/0!</v>
      </c>
      <c r="N1523" s="329">
        <f t="shared" si="1129"/>
        <v>0</v>
      </c>
    </row>
    <row r="1524" spans="1:14" ht="12.6">
      <c r="A1524" s="37"/>
      <c r="B1524" s="33">
        <v>4521</v>
      </c>
      <c r="C1524" s="34" t="s">
        <v>713</v>
      </c>
      <c r="D1524" s="52">
        <v>1500</v>
      </c>
      <c r="E1524" s="140">
        <v>1630</v>
      </c>
      <c r="F1524" s="140">
        <v>0</v>
      </c>
      <c r="G1524" s="140"/>
      <c r="H1524" s="140">
        <f>+F1524+G1524</f>
        <v>0</v>
      </c>
      <c r="I1524" s="140"/>
      <c r="J1524" s="140">
        <f>+H1524+I1524</f>
        <v>0</v>
      </c>
      <c r="K1524" s="201">
        <v>150</v>
      </c>
      <c r="L1524" s="140">
        <v>0</v>
      </c>
      <c r="M1524" s="335" t="e">
        <f t="shared" si="1132"/>
        <v>#DIV/0!</v>
      </c>
      <c r="N1524" s="329">
        <f t="shared" si="1129"/>
        <v>0</v>
      </c>
    </row>
    <row r="1525" spans="1:14" ht="12.6">
      <c r="A1525" s="45" t="s">
        <v>714</v>
      </c>
      <c r="B1525" s="46"/>
      <c r="C1525" s="47" t="s">
        <v>715</v>
      </c>
      <c r="D1525" s="53">
        <v>40682</v>
      </c>
      <c r="E1525" s="50">
        <v>34205</v>
      </c>
      <c r="F1525" s="50">
        <f t="shared" ref="F1525" si="1166">+F1526+F1527</f>
        <v>39665</v>
      </c>
      <c r="G1525" s="50">
        <f t="shared" ref="G1525:H1525" si="1167">+G1526+G1527</f>
        <v>0</v>
      </c>
      <c r="H1525" s="50">
        <f t="shared" si="1167"/>
        <v>39665</v>
      </c>
      <c r="I1525" s="50">
        <f t="shared" ref="I1525:J1525" si="1168">+I1526+I1527</f>
        <v>0</v>
      </c>
      <c r="J1525" s="50">
        <f t="shared" si="1168"/>
        <v>39665</v>
      </c>
      <c r="K1525" s="50">
        <f t="shared" ref="K1525:L1525" si="1169">+K1526+K1527</f>
        <v>25526</v>
      </c>
      <c r="L1525" s="50">
        <f t="shared" si="1169"/>
        <v>41000</v>
      </c>
      <c r="M1525" s="335">
        <f t="shared" si="1132"/>
        <v>3.3656876339341987E-2</v>
      </c>
      <c r="N1525" s="329">
        <f t="shared" si="1129"/>
        <v>1335</v>
      </c>
    </row>
    <row r="1526" spans="1:14" ht="14.1" customHeight="1">
      <c r="A1526" s="37"/>
      <c r="B1526" s="38">
        <v>50</v>
      </c>
      <c r="C1526" s="39" t="s">
        <v>211</v>
      </c>
      <c r="D1526" s="51">
        <v>37732</v>
      </c>
      <c r="E1526" s="143">
        <v>31475</v>
      </c>
      <c r="F1526" s="226">
        <v>32915</v>
      </c>
      <c r="G1526" s="143"/>
      <c r="H1526" s="143">
        <f>+F1526+G1526</f>
        <v>32915</v>
      </c>
      <c r="I1526" s="143"/>
      <c r="J1526" s="143">
        <f>+H1526+I1526</f>
        <v>32915</v>
      </c>
      <c r="K1526" s="143">
        <v>24852</v>
      </c>
      <c r="L1526" s="225">
        <v>36200</v>
      </c>
      <c r="M1526" s="335">
        <f t="shared" si="1132"/>
        <v>9.9802521646665657E-2</v>
      </c>
      <c r="N1526" s="329">
        <f t="shared" si="1129"/>
        <v>3285</v>
      </c>
    </row>
    <row r="1527" spans="1:14" ht="14.1" customHeight="1">
      <c r="A1527" s="37"/>
      <c r="B1527" s="38">
        <v>55</v>
      </c>
      <c r="C1527" s="39" t="s">
        <v>213</v>
      </c>
      <c r="D1527" s="51">
        <v>2950</v>
      </c>
      <c r="E1527" s="137">
        <v>2730</v>
      </c>
      <c r="F1527" s="137">
        <f>+F1528+F1529+F1530+F1533+F1535+F1536+F1537+F1538+F1539+F1534</f>
        <v>6750</v>
      </c>
      <c r="G1527" s="137">
        <f t="shared" ref="G1527:H1527" si="1170">+G1528+G1529+G1530+G1533+G1535+G1536+G1537+G1538+G1539+G1534</f>
        <v>0</v>
      </c>
      <c r="H1527" s="137">
        <f t="shared" si="1170"/>
        <v>6750</v>
      </c>
      <c r="I1527" s="137">
        <f t="shared" ref="I1527:J1527" si="1171">+I1528+I1529+I1530+I1533+I1535+I1536+I1537+I1538+I1539+I1534</f>
        <v>0</v>
      </c>
      <c r="J1527" s="137">
        <f t="shared" si="1171"/>
        <v>6750</v>
      </c>
      <c r="K1527" s="137">
        <f t="shared" ref="K1527" si="1172">+K1528+K1529+K1530+K1533+K1535+K1536+K1537+K1538+K1539+K1534</f>
        <v>674</v>
      </c>
      <c r="L1527" s="137">
        <f>+L1528+L1529+L1530+L1533+L1535+L1536+L1537+L1538+L1539+L1534</f>
        <v>4800</v>
      </c>
      <c r="M1527" s="335">
        <f t="shared" si="1132"/>
        <v>-0.28888888888888886</v>
      </c>
      <c r="N1527" s="329">
        <f t="shared" si="1129"/>
        <v>-1950</v>
      </c>
    </row>
    <row r="1528" spans="1:14" ht="13.5" hidden="1" customHeight="1">
      <c r="A1528" s="37"/>
      <c r="B1528" s="33">
        <v>5500</v>
      </c>
      <c r="C1528" s="40" t="s">
        <v>227</v>
      </c>
      <c r="D1528" s="52">
        <v>0</v>
      </c>
      <c r="E1528" s="17">
        <v>0</v>
      </c>
      <c r="F1528" s="226">
        <v>0</v>
      </c>
      <c r="G1528" s="17"/>
      <c r="H1528" s="17">
        <f>+F1528+G1528</f>
        <v>0</v>
      </c>
      <c r="I1528" s="17"/>
      <c r="J1528" s="17">
        <f>+H1528+I1528</f>
        <v>0</v>
      </c>
      <c r="L1528" s="226">
        <v>0</v>
      </c>
      <c r="M1528" s="335" t="e">
        <f t="shared" si="1132"/>
        <v>#DIV/0!</v>
      </c>
      <c r="N1528" s="329">
        <f t="shared" si="1129"/>
        <v>0</v>
      </c>
    </row>
    <row r="1529" spans="1:14" ht="14.1" customHeight="1">
      <c r="A1529" s="37"/>
      <c r="B1529" s="33">
        <v>5504</v>
      </c>
      <c r="C1529" s="34" t="s">
        <v>462</v>
      </c>
      <c r="D1529" s="52">
        <v>300</v>
      </c>
      <c r="E1529" s="17">
        <v>200</v>
      </c>
      <c r="F1529" s="226">
        <v>300</v>
      </c>
      <c r="G1529" s="17"/>
      <c r="H1529" s="17">
        <f t="shared" ref="H1529:H1539" si="1173">+F1529+G1529</f>
        <v>300</v>
      </c>
      <c r="I1529" s="17"/>
      <c r="J1529" s="17">
        <f t="shared" ref="J1529" si="1174">+H1529+I1529</f>
        <v>300</v>
      </c>
      <c r="K1529" s="20">
        <v>217</v>
      </c>
      <c r="L1529" s="226">
        <v>300</v>
      </c>
      <c r="M1529" s="335">
        <f t="shared" si="1132"/>
        <v>0</v>
      </c>
      <c r="N1529" s="329">
        <f t="shared" si="1129"/>
        <v>0</v>
      </c>
    </row>
    <row r="1530" spans="1:14" ht="14.1" customHeight="1">
      <c r="A1530" s="37"/>
      <c r="B1530" s="33">
        <v>5511</v>
      </c>
      <c r="C1530" s="34" t="s">
        <v>219</v>
      </c>
      <c r="D1530" s="52">
        <v>0</v>
      </c>
      <c r="E1530" s="17">
        <v>900</v>
      </c>
      <c r="F1530" s="226">
        <f t="shared" ref="F1530:K1530" si="1175">F1531+F1532</f>
        <v>200</v>
      </c>
      <c r="G1530" s="17">
        <f t="shared" si="1175"/>
        <v>1000</v>
      </c>
      <c r="H1530" s="17">
        <f t="shared" si="1175"/>
        <v>1200</v>
      </c>
      <c r="I1530" s="17">
        <f t="shared" si="1175"/>
        <v>0</v>
      </c>
      <c r="J1530" s="17">
        <f t="shared" si="1175"/>
        <v>1200</v>
      </c>
      <c r="K1530" s="17">
        <f t="shared" si="1175"/>
        <v>176</v>
      </c>
      <c r="L1530" s="226">
        <f t="shared" ref="L1530" si="1176">L1531+L1532</f>
        <v>1000</v>
      </c>
      <c r="M1530" s="335">
        <f t="shared" si="1132"/>
        <v>-0.16666666666666666</v>
      </c>
      <c r="N1530" s="329">
        <f t="shared" si="1129"/>
        <v>-200</v>
      </c>
    </row>
    <row r="1531" spans="1:14" ht="14.1" customHeight="1">
      <c r="A1531" s="37"/>
      <c r="B1531" s="33"/>
      <c r="C1531" s="178" t="s">
        <v>410</v>
      </c>
      <c r="D1531" s="52"/>
      <c r="E1531" s="182">
        <v>900</v>
      </c>
      <c r="F1531" s="228">
        <v>200</v>
      </c>
      <c r="G1531" s="242">
        <v>600</v>
      </c>
      <c r="H1531" s="147">
        <f t="shared" si="1173"/>
        <v>800</v>
      </c>
      <c r="I1531" s="147"/>
      <c r="J1531" s="147">
        <f t="shared" ref="J1531:J1539" si="1177">+H1531+I1531</f>
        <v>800</v>
      </c>
      <c r="K1531" s="147">
        <v>89</v>
      </c>
      <c r="L1531" s="228">
        <v>500</v>
      </c>
      <c r="M1531" s="335">
        <f t="shared" si="1132"/>
        <v>-0.375</v>
      </c>
      <c r="N1531" s="329">
        <f t="shared" si="1129"/>
        <v>-300</v>
      </c>
    </row>
    <row r="1532" spans="1:14" ht="14.1" customHeight="1">
      <c r="A1532" s="37"/>
      <c r="B1532" s="33"/>
      <c r="C1532" s="178" t="s">
        <v>411</v>
      </c>
      <c r="D1532" s="52"/>
      <c r="E1532" s="182">
        <v>0</v>
      </c>
      <c r="F1532" s="228"/>
      <c r="G1532" s="242">
        <v>400</v>
      </c>
      <c r="H1532" s="147">
        <f t="shared" si="1173"/>
        <v>400</v>
      </c>
      <c r="I1532" s="147"/>
      <c r="J1532" s="147">
        <f t="shared" si="1177"/>
        <v>400</v>
      </c>
      <c r="K1532" s="147">
        <v>87</v>
      </c>
      <c r="L1532" s="228">
        <v>500</v>
      </c>
      <c r="M1532" s="335">
        <f t="shared" si="1132"/>
        <v>0.25</v>
      </c>
      <c r="N1532" s="329">
        <f t="shared" si="1129"/>
        <v>100</v>
      </c>
    </row>
    <row r="1533" spans="1:14" ht="14.1" customHeight="1">
      <c r="A1533" s="37"/>
      <c r="B1533" s="33">
        <v>5513</v>
      </c>
      <c r="C1533" s="34" t="s">
        <v>671</v>
      </c>
      <c r="D1533" s="52">
        <v>100</v>
      </c>
      <c r="E1533" s="17">
        <v>0</v>
      </c>
      <c r="F1533" s="226">
        <v>0</v>
      </c>
      <c r="G1533" s="17"/>
      <c r="H1533" s="17">
        <f t="shared" si="1173"/>
        <v>0</v>
      </c>
      <c r="I1533" s="17"/>
      <c r="J1533" s="17">
        <f t="shared" si="1177"/>
        <v>0</v>
      </c>
      <c r="K1533" s="17"/>
      <c r="L1533" s="226"/>
      <c r="M1533" s="335" t="e">
        <f t="shared" si="1132"/>
        <v>#DIV/0!</v>
      </c>
      <c r="N1533" s="329">
        <f t="shared" si="1129"/>
        <v>0</v>
      </c>
    </row>
    <row r="1534" spans="1:14" ht="14.1" customHeight="1">
      <c r="A1534" s="37"/>
      <c r="B1534" s="33">
        <v>5514</v>
      </c>
      <c r="C1534" s="34" t="s">
        <v>221</v>
      </c>
      <c r="D1534" s="52"/>
      <c r="E1534" s="17">
        <v>50</v>
      </c>
      <c r="F1534" s="226">
        <v>2200</v>
      </c>
      <c r="G1534" s="17">
        <v>-1000</v>
      </c>
      <c r="H1534" s="17">
        <f t="shared" si="1173"/>
        <v>1200</v>
      </c>
      <c r="I1534" s="17"/>
      <c r="J1534" s="17">
        <f t="shared" si="1177"/>
        <v>1200</v>
      </c>
      <c r="K1534" s="17"/>
      <c r="L1534" s="226">
        <v>1700</v>
      </c>
      <c r="M1534" s="335">
        <f t="shared" si="1132"/>
        <v>0.41666666666666669</v>
      </c>
      <c r="N1534" s="329">
        <f t="shared" si="1129"/>
        <v>500</v>
      </c>
    </row>
    <row r="1535" spans="1:14" ht="14.1" customHeight="1">
      <c r="A1535" s="37"/>
      <c r="B1535" s="33">
        <v>5515</v>
      </c>
      <c r="C1535" s="34" t="s">
        <v>257</v>
      </c>
      <c r="D1535" s="52">
        <v>2100</v>
      </c>
      <c r="E1535" s="17">
        <v>1230</v>
      </c>
      <c r="F1535" s="226">
        <v>3000</v>
      </c>
      <c r="G1535" s="17"/>
      <c r="H1535" s="17">
        <f t="shared" si="1173"/>
        <v>3000</v>
      </c>
      <c r="I1535" s="17"/>
      <c r="J1535" s="17">
        <f t="shared" si="1177"/>
        <v>3000</v>
      </c>
      <c r="K1535" s="17">
        <v>14</v>
      </c>
      <c r="L1535" s="226">
        <v>1000</v>
      </c>
      <c r="M1535" s="335">
        <f t="shared" si="1132"/>
        <v>-0.66666666666666663</v>
      </c>
      <c r="N1535" s="329">
        <f t="shared" si="1129"/>
        <v>-2000</v>
      </c>
    </row>
    <row r="1536" spans="1:14" ht="14.1" customHeight="1">
      <c r="A1536" s="37"/>
      <c r="B1536" s="19">
        <v>5522</v>
      </c>
      <c r="C1536" s="34" t="s">
        <v>262</v>
      </c>
      <c r="D1536" s="52">
        <v>0</v>
      </c>
      <c r="E1536" s="17">
        <v>50</v>
      </c>
      <c r="F1536" s="226">
        <v>350</v>
      </c>
      <c r="G1536" s="17"/>
      <c r="H1536" s="17">
        <f t="shared" si="1173"/>
        <v>350</v>
      </c>
      <c r="I1536" s="17"/>
      <c r="J1536" s="17">
        <f t="shared" si="1177"/>
        <v>350</v>
      </c>
      <c r="K1536" s="17">
        <v>80</v>
      </c>
      <c r="L1536" s="226">
        <v>100</v>
      </c>
      <c r="M1536" s="335">
        <f t="shared" si="1132"/>
        <v>-0.7142857142857143</v>
      </c>
      <c r="N1536" s="329">
        <f t="shared" si="1129"/>
        <v>-250</v>
      </c>
    </row>
    <row r="1537" spans="1:14" ht="14.1" customHeight="1">
      <c r="A1537" s="37"/>
      <c r="B1537" s="33">
        <v>5524</v>
      </c>
      <c r="C1537" s="34" t="s">
        <v>432</v>
      </c>
      <c r="D1537" s="52">
        <v>100</v>
      </c>
      <c r="E1537" s="17">
        <v>50</v>
      </c>
      <c r="F1537" s="226">
        <v>100</v>
      </c>
      <c r="G1537" s="17"/>
      <c r="H1537" s="17">
        <f t="shared" si="1173"/>
        <v>100</v>
      </c>
      <c r="I1537" s="17"/>
      <c r="J1537" s="17">
        <f t="shared" si="1177"/>
        <v>100</v>
      </c>
      <c r="K1537" s="17"/>
      <c r="L1537" s="226">
        <v>100</v>
      </c>
      <c r="M1537" s="335">
        <f t="shared" si="1132"/>
        <v>0</v>
      </c>
      <c r="N1537" s="329">
        <f t="shared" si="1129"/>
        <v>0</v>
      </c>
    </row>
    <row r="1538" spans="1:14" ht="14.1" customHeight="1">
      <c r="A1538" s="37"/>
      <c r="B1538" s="33">
        <v>5525</v>
      </c>
      <c r="C1538" s="34" t="s">
        <v>264</v>
      </c>
      <c r="D1538" s="52">
        <v>250</v>
      </c>
      <c r="E1538" s="17">
        <v>250</v>
      </c>
      <c r="F1538" s="226">
        <v>400</v>
      </c>
      <c r="G1538" s="17"/>
      <c r="H1538" s="17">
        <f t="shared" si="1173"/>
        <v>400</v>
      </c>
      <c r="I1538" s="17"/>
      <c r="J1538" s="17">
        <f t="shared" si="1177"/>
        <v>400</v>
      </c>
      <c r="K1538" s="17">
        <v>187</v>
      </c>
      <c r="L1538" s="226">
        <v>400</v>
      </c>
      <c r="M1538" s="335">
        <f t="shared" si="1132"/>
        <v>0</v>
      </c>
      <c r="N1538" s="329">
        <f t="shared" si="1129"/>
        <v>0</v>
      </c>
    </row>
    <row r="1539" spans="1:14" ht="14.1" customHeight="1">
      <c r="A1539" s="37"/>
      <c r="B1539" s="33">
        <v>5540</v>
      </c>
      <c r="C1539" s="34" t="s">
        <v>348</v>
      </c>
      <c r="D1539" s="52">
        <v>100</v>
      </c>
      <c r="E1539" s="17">
        <v>0</v>
      </c>
      <c r="F1539" s="226">
        <v>200</v>
      </c>
      <c r="G1539" s="17"/>
      <c r="H1539" s="17">
        <f t="shared" si="1173"/>
        <v>200</v>
      </c>
      <c r="I1539" s="17"/>
      <c r="J1539" s="17">
        <f t="shared" si="1177"/>
        <v>200</v>
      </c>
      <c r="K1539" s="17"/>
      <c r="L1539" s="226">
        <v>200</v>
      </c>
      <c r="M1539" s="335">
        <f t="shared" si="1132"/>
        <v>0</v>
      </c>
      <c r="N1539" s="329">
        <f t="shared" si="1129"/>
        <v>0</v>
      </c>
    </row>
    <row r="1540" spans="1:14" ht="14.1" customHeight="1">
      <c r="A1540" s="56" t="s">
        <v>716</v>
      </c>
      <c r="B1540" s="46"/>
      <c r="C1540" s="47" t="s">
        <v>717</v>
      </c>
      <c r="D1540" s="53">
        <v>40682</v>
      </c>
      <c r="E1540" s="50">
        <v>0</v>
      </c>
      <c r="F1540" s="50">
        <f t="shared" ref="F1540" si="1178">+F1541+F1542</f>
        <v>10700</v>
      </c>
      <c r="G1540" s="50">
        <f t="shared" ref="G1540:H1540" si="1179">+G1541+G1542</f>
        <v>0</v>
      </c>
      <c r="H1540" s="50">
        <f t="shared" si="1179"/>
        <v>10700</v>
      </c>
      <c r="I1540" s="50">
        <f t="shared" ref="I1540:J1540" si="1180">+I1541+I1542</f>
        <v>-5200</v>
      </c>
      <c r="J1540" s="50">
        <f t="shared" si="1180"/>
        <v>5500</v>
      </c>
      <c r="K1540" s="50">
        <f t="shared" ref="K1540:L1540" si="1181">+K1541+K1542</f>
        <v>7235</v>
      </c>
      <c r="L1540" s="50">
        <f t="shared" si="1181"/>
        <v>41100</v>
      </c>
      <c r="M1540" s="335">
        <f t="shared" si="1132"/>
        <v>6.4727272727272727</v>
      </c>
      <c r="N1540" s="329">
        <f t="shared" si="1129"/>
        <v>35600</v>
      </c>
    </row>
    <row r="1541" spans="1:14" ht="14.1" customHeight="1">
      <c r="A1541" s="37"/>
      <c r="B1541" s="38">
        <v>50</v>
      </c>
      <c r="C1541" s="39" t="s">
        <v>211</v>
      </c>
      <c r="D1541" s="51">
        <v>37732</v>
      </c>
      <c r="E1541" s="143"/>
      <c r="F1541" s="226">
        <v>1200</v>
      </c>
      <c r="G1541" s="143"/>
      <c r="H1541" s="143">
        <f>+F1541+G1541</f>
        <v>1200</v>
      </c>
      <c r="I1541" s="143">
        <v>-1200</v>
      </c>
      <c r="J1541" s="143">
        <f>+H1541+I1541</f>
        <v>0</v>
      </c>
      <c r="K1541" s="143">
        <v>0</v>
      </c>
      <c r="L1541" s="225">
        <v>31100</v>
      </c>
      <c r="M1541" s="335" t="e">
        <f t="shared" si="1132"/>
        <v>#DIV/0!</v>
      </c>
      <c r="N1541" s="329">
        <f t="shared" si="1129"/>
        <v>31100</v>
      </c>
    </row>
    <row r="1542" spans="1:14" ht="14.1" customHeight="1">
      <c r="A1542" s="37"/>
      <c r="B1542" s="38">
        <v>55</v>
      </c>
      <c r="C1542" s="39" t="s">
        <v>213</v>
      </c>
      <c r="D1542" s="51">
        <v>2950</v>
      </c>
      <c r="E1542" s="137"/>
      <c r="F1542" s="137">
        <f>F1543+F1544+F1545+F1546+F1547</f>
        <v>9500</v>
      </c>
      <c r="G1542" s="137">
        <f t="shared" ref="G1542:I1542" si="1182">G1543+G1544+G1545+G1546+G1547</f>
        <v>0</v>
      </c>
      <c r="H1542" s="137">
        <f>H1543+H1544+H1545+H1546+H1547</f>
        <v>9500</v>
      </c>
      <c r="I1542" s="137">
        <f t="shared" si="1182"/>
        <v>-4000</v>
      </c>
      <c r="J1542" s="137">
        <f>J1543+J1544+J1545+J1546+J1547</f>
        <v>5500</v>
      </c>
      <c r="K1542" s="137">
        <f>K1543+K1544+K1545+K1546+K1547</f>
        <v>7235</v>
      </c>
      <c r="L1542" s="137">
        <f>L1543+L1544+L1545+L1546+L1547</f>
        <v>10000</v>
      </c>
      <c r="M1542" s="335">
        <f t="shared" si="1132"/>
        <v>0.81818181818181823</v>
      </c>
      <c r="N1542" s="329">
        <f t="shared" ref="N1542:N1605" si="1183">L1542-J1542</f>
        <v>4500</v>
      </c>
    </row>
    <row r="1543" spans="1:14" ht="14.1" customHeight="1">
      <c r="A1543" s="37"/>
      <c r="B1543" s="33">
        <v>5500</v>
      </c>
      <c r="C1543" s="40" t="s">
        <v>227</v>
      </c>
      <c r="D1543" s="51"/>
      <c r="E1543" s="94"/>
      <c r="F1543" s="224">
        <v>1500</v>
      </c>
      <c r="G1543" s="17"/>
      <c r="H1543" s="17">
        <f t="shared" ref="H1543:H1545" si="1184">+F1543+G1543</f>
        <v>1500</v>
      </c>
      <c r="I1543" s="17"/>
      <c r="J1543" s="17">
        <f t="shared" ref="J1543:J1545" si="1185">+H1543+I1543</f>
        <v>1500</v>
      </c>
      <c r="K1543" s="20">
        <v>6090</v>
      </c>
      <c r="L1543" s="224">
        <v>6000</v>
      </c>
      <c r="M1543" s="335">
        <f t="shared" si="1132"/>
        <v>3</v>
      </c>
      <c r="N1543" s="329">
        <f t="shared" si="1183"/>
        <v>4500</v>
      </c>
    </row>
    <row r="1544" spans="1:14" ht="14.1" customHeight="1">
      <c r="A1544" s="37"/>
      <c r="B1544" s="33">
        <v>5525</v>
      </c>
      <c r="C1544" s="34" t="s">
        <v>264</v>
      </c>
      <c r="D1544" s="51"/>
      <c r="E1544" s="94"/>
      <c r="F1544" s="224">
        <f>2500+4500+1000</f>
        <v>8000</v>
      </c>
      <c r="G1544" s="17"/>
      <c r="H1544" s="17">
        <f t="shared" si="1184"/>
        <v>8000</v>
      </c>
      <c r="I1544" s="17">
        <v>-4000</v>
      </c>
      <c r="J1544" s="17">
        <f t="shared" si="1185"/>
        <v>4000</v>
      </c>
      <c r="K1544" s="20">
        <v>1145</v>
      </c>
      <c r="L1544" s="224">
        <v>4000</v>
      </c>
      <c r="M1544" s="335">
        <f t="shared" si="1132"/>
        <v>0</v>
      </c>
      <c r="N1544" s="329">
        <f t="shared" si="1183"/>
        <v>0</v>
      </c>
    </row>
    <row r="1545" spans="1:14" ht="14.1" customHeight="1">
      <c r="A1545" s="37"/>
      <c r="B1545" s="33">
        <v>5540</v>
      </c>
      <c r="C1545" s="34" t="s">
        <v>348</v>
      </c>
      <c r="D1545" s="51"/>
      <c r="E1545" s="94"/>
      <c r="F1545" s="224">
        <v>0</v>
      </c>
      <c r="G1545" s="17"/>
      <c r="H1545" s="17">
        <f t="shared" si="1184"/>
        <v>0</v>
      </c>
      <c r="I1545" s="17"/>
      <c r="J1545" s="17">
        <f t="shared" si="1185"/>
        <v>0</v>
      </c>
      <c r="L1545" s="224"/>
      <c r="M1545" s="335" t="e">
        <f t="shared" si="1132"/>
        <v>#DIV/0!</v>
      </c>
      <c r="N1545" s="329">
        <f t="shared" si="1183"/>
        <v>0</v>
      </c>
    </row>
    <row r="1546" spans="1:14" ht="13.5" hidden="1" customHeight="1">
      <c r="A1546" s="37"/>
      <c r="B1546" s="38"/>
      <c r="C1546" s="39"/>
      <c r="D1546" s="51"/>
      <c r="E1546" s="94"/>
      <c r="F1546" s="222"/>
      <c r="G1546" s="94"/>
      <c r="H1546" s="94"/>
      <c r="I1546" s="94"/>
      <c r="J1546" s="94"/>
      <c r="K1546" s="16"/>
      <c r="L1546" s="222"/>
      <c r="M1546" s="335" t="e">
        <f t="shared" si="1132"/>
        <v>#DIV/0!</v>
      </c>
      <c r="N1546" s="329">
        <f t="shared" si="1183"/>
        <v>0</v>
      </c>
    </row>
    <row r="1547" spans="1:14" ht="13.5" hidden="1" customHeight="1">
      <c r="A1547" s="37"/>
      <c r="B1547" s="33"/>
      <c r="C1547" s="34"/>
      <c r="D1547" s="52"/>
      <c r="E1547" s="17"/>
      <c r="F1547" s="224"/>
      <c r="G1547" s="17"/>
      <c r="H1547" s="17"/>
      <c r="I1547" s="17"/>
      <c r="J1547" s="17"/>
      <c r="L1547" s="224"/>
      <c r="M1547" s="335" t="e">
        <f t="shared" ref="M1547:M1610" si="1186">(L1547-J1547)/J1547</f>
        <v>#DIV/0!</v>
      </c>
      <c r="N1547" s="329">
        <f t="shared" si="1183"/>
        <v>0</v>
      </c>
    </row>
    <row r="1548" spans="1:14" ht="14.1" customHeight="1">
      <c r="A1548" s="28" t="s">
        <v>718</v>
      </c>
      <c r="B1548" s="29">
        <v>10</v>
      </c>
      <c r="C1548" s="30" t="s">
        <v>719</v>
      </c>
      <c r="D1548" s="44">
        <v>1093664</v>
      </c>
      <c r="E1548" s="42">
        <v>1643989</v>
      </c>
      <c r="F1548" s="42">
        <f t="shared" ref="F1548:I1548" si="1187">+F1554+F1595+F1607+F1597+F1632+F1646+F1655+F1661+F1700+F1698+F1711+F1702+F1696+F1575+F1725+F1727</f>
        <v>1729426</v>
      </c>
      <c r="G1548" s="42">
        <f t="shared" si="1187"/>
        <v>247377</v>
      </c>
      <c r="H1548" s="42">
        <f t="shared" si="1187"/>
        <v>1976803</v>
      </c>
      <c r="I1548" s="42">
        <f t="shared" si="1187"/>
        <v>-86329</v>
      </c>
      <c r="J1548" s="42">
        <f>+J1554+J1595+J1607+J1597+J1632+J1646+J1655+J1661+J1700+J1698+J1711+J1702+J1696+J1575+J1725+J1727+J1642</f>
        <v>1890474</v>
      </c>
      <c r="K1548" s="42">
        <f t="shared" ref="K1548:L1548" si="1188">+K1554+K1595+K1607+K1597+K1632+K1646+K1655+K1661+K1700+K1698+K1711+K1702+K1696+K1575+K1725+K1727+K1642</f>
        <v>1281678.44</v>
      </c>
      <c r="L1548" s="42">
        <f t="shared" si="1188"/>
        <v>2330800</v>
      </c>
      <c r="M1548" s="335">
        <f t="shared" si="1186"/>
        <v>0.23291830514463568</v>
      </c>
      <c r="N1548" s="329">
        <f t="shared" si="1183"/>
        <v>440326</v>
      </c>
    </row>
    <row r="1549" spans="1:14" ht="12.6">
      <c r="A1549" s="54"/>
      <c r="B1549" s="54"/>
      <c r="C1549" s="54" t="s">
        <v>720</v>
      </c>
      <c r="D1549" s="54"/>
      <c r="E1549" s="54">
        <v>1643989</v>
      </c>
      <c r="F1549" s="54">
        <f>F1551+F1552+F1550+F1553</f>
        <v>1729426</v>
      </c>
      <c r="G1549" s="54">
        <f t="shared" ref="G1549:H1549" si="1189">G1551+G1552+G1550+G1553</f>
        <v>247377</v>
      </c>
      <c r="H1549" s="54">
        <f t="shared" si="1189"/>
        <v>1976803</v>
      </c>
      <c r="I1549" s="54">
        <f>I1551+I1552+I1550+I1553</f>
        <v>-86329</v>
      </c>
      <c r="J1549" s="54">
        <f t="shared" ref="J1549:K1549" si="1190">J1551+J1552+J1550+J1553</f>
        <v>1890474</v>
      </c>
      <c r="K1549" s="54">
        <f t="shared" si="1190"/>
        <v>1281678.44</v>
      </c>
      <c r="L1549" s="54">
        <f>L1551+L1552+L1550+L1553</f>
        <v>2330800</v>
      </c>
      <c r="M1549" s="335">
        <f t="shared" si="1186"/>
        <v>0.23291830514463568</v>
      </c>
      <c r="N1549" s="329">
        <f t="shared" si="1183"/>
        <v>440326</v>
      </c>
    </row>
    <row r="1550" spans="1:14" ht="14.1" customHeight="1">
      <c r="A1550" s="141"/>
      <c r="B1550" s="141">
        <v>45</v>
      </c>
      <c r="C1550" s="141" t="s">
        <v>721</v>
      </c>
      <c r="D1550" s="141"/>
      <c r="E1550" s="141">
        <v>787620</v>
      </c>
      <c r="F1550" s="141">
        <f>F1556+F1565+F1576+F1584+F1592+F1593+F1594+F1647+F1656+F1662+F1674+F1678+F1672+F1673+F1695+F1682+F1701+F1726+F1728+F1703+F1697+F1608</f>
        <v>680900</v>
      </c>
      <c r="G1550" s="141">
        <f>G1556+G1565+G1576+G1584+G1592+G1593+G1594+G1647+G1656+G1662+G1674+G1678+G1672+G1673+G1695+G1682+G1701+G1726+G1728+G1703+G1697+G1608</f>
        <v>276402</v>
      </c>
      <c r="H1550" s="141">
        <f>H1556+H1565+H1576+H1584+H1592+H1593+H1594+H1647+H1656+H1662+H1674+H1678+H1672+H1673+H1695+H1682+H1701+H1726+H1728+H1703+H1697+H1608</f>
        <v>957302</v>
      </c>
      <c r="I1550" s="141">
        <f>I1556+I1565+I1576+I1584+I1592+I1593+I1594+I1647+I1656+I1662+I1674+I1678+I1672+I1673+I1695+I1682+I1701+I1726+I1728+I1703+I1697+I1608+I1683</f>
        <v>-47888</v>
      </c>
      <c r="J1550" s="141">
        <f>J1556+J1565+J1576+J1584+J1592+J1593+J1594+J1647+J1656+J1662+J1674+J1678+J1672+J1673+J1695+J1682+J1701+J1726+J1728+J1703+J1697+J1608+J1683</f>
        <v>909414</v>
      </c>
      <c r="K1550" s="141">
        <f>K1556+K1565+K1576+K1584+K1592+K1593+K1594+K1647+K1656+K1662+K1674+K1678+K1672+K1673+K1695+K1682+K1701+K1726+K1728+K1703+K1697+K1608+K1683+K1633+K1643</f>
        <v>551672.62</v>
      </c>
      <c r="L1550" s="141">
        <f>L1556+L1565+L1576+L1584+L1592+L1593+L1594+L1647+L1656+L1662+L1674+L1678+L1672+L1673+L1695+L1682+L1701+L1726+L1728+L1703+L1697+L1608+L1633+L1643</f>
        <v>1446800</v>
      </c>
      <c r="M1550" s="335">
        <f t="shared" si="1186"/>
        <v>0.59091458895508542</v>
      </c>
      <c r="N1550" s="329">
        <f t="shared" si="1183"/>
        <v>537386</v>
      </c>
    </row>
    <row r="1551" spans="1:14" ht="14.1" customHeight="1">
      <c r="A1551" s="143"/>
      <c r="B1551" s="143">
        <v>50</v>
      </c>
      <c r="C1551" s="143" t="s">
        <v>722</v>
      </c>
      <c r="D1551" s="143"/>
      <c r="E1551" s="226">
        <v>380699</v>
      </c>
      <c r="F1551" s="226">
        <f t="shared" ref="F1551:K1551" si="1191">F1566+F1585+F1609+F1598+F1684+F1712+F1652+F1729</f>
        <v>514802</v>
      </c>
      <c r="G1551" s="143">
        <f t="shared" si="1191"/>
        <v>0</v>
      </c>
      <c r="H1551" s="143">
        <f t="shared" si="1191"/>
        <v>514802</v>
      </c>
      <c r="I1551" s="143">
        <f t="shared" si="1191"/>
        <v>-41369</v>
      </c>
      <c r="J1551" s="143">
        <f t="shared" si="1191"/>
        <v>473433</v>
      </c>
      <c r="K1551" s="143">
        <f t="shared" si="1191"/>
        <v>349517</v>
      </c>
      <c r="L1551" s="226">
        <f>L1566+L1585+L1609+L1598+L1684+L1712+L1652+L1729</f>
        <v>497500</v>
      </c>
      <c r="M1551" s="335">
        <f t="shared" si="1186"/>
        <v>5.0835070643575751E-2</v>
      </c>
      <c r="N1551" s="329">
        <f t="shared" si="1183"/>
        <v>24067</v>
      </c>
    </row>
    <row r="1552" spans="1:14" ht="14.1" customHeight="1">
      <c r="A1552" s="137"/>
      <c r="B1552" s="137">
        <v>55</v>
      </c>
      <c r="C1552" s="137" t="s">
        <v>723</v>
      </c>
      <c r="D1552" s="137"/>
      <c r="E1552" s="137">
        <v>475670</v>
      </c>
      <c r="F1552" s="137">
        <f t="shared" ref="F1552:K1552" si="1192">F1567+F1586+F1596+F1610+F1599+F1634+F1658+F1699+F1704+F1713+F1653+F1685+F1730</f>
        <v>533724</v>
      </c>
      <c r="G1552" s="137">
        <f t="shared" si="1192"/>
        <v>-29025</v>
      </c>
      <c r="H1552" s="137">
        <f t="shared" si="1192"/>
        <v>504699</v>
      </c>
      <c r="I1552" s="137">
        <f t="shared" si="1192"/>
        <v>2928</v>
      </c>
      <c r="J1552" s="137">
        <f>J1567+J1586+J1596+J1610+J1599+J1634+J1658+J1699+J1704+J1713+J1653+J1685+J1730</f>
        <v>507627</v>
      </c>
      <c r="K1552" s="137">
        <f t="shared" si="1192"/>
        <v>380488.82</v>
      </c>
      <c r="L1552" s="137">
        <f>L1567+L1586+L1596+L1610+L1599+L1634+L1658+L1699+L1704+L1713+L1653+L1685+L1730</f>
        <v>386500</v>
      </c>
      <c r="M1552" s="335">
        <f t="shared" si="1186"/>
        <v>-0.2386141793088232</v>
      </c>
      <c r="N1552" s="329">
        <f t="shared" si="1183"/>
        <v>-121127</v>
      </c>
    </row>
    <row r="1553" spans="1:14" ht="14.1" customHeight="1">
      <c r="A1553" s="140"/>
      <c r="B1553" s="140">
        <v>60</v>
      </c>
      <c r="C1553" s="140" t="s">
        <v>724</v>
      </c>
      <c r="D1553" s="140"/>
      <c r="E1553" s="140"/>
      <c r="F1553" s="140"/>
      <c r="G1553" s="140"/>
      <c r="H1553" s="140"/>
      <c r="I1553" s="140"/>
      <c r="J1553" s="140"/>
      <c r="K1553" s="140"/>
      <c r="L1553" s="140"/>
      <c r="M1553" s="335" t="e">
        <f t="shared" si="1186"/>
        <v>#DIV/0!</v>
      </c>
      <c r="N1553" s="329">
        <f t="shared" si="1183"/>
        <v>0</v>
      </c>
    </row>
    <row r="1554" spans="1:14" ht="14.1" customHeight="1">
      <c r="A1554" s="45" t="s">
        <v>725</v>
      </c>
      <c r="B1554" s="191"/>
      <c r="C1554" s="79" t="s">
        <v>726</v>
      </c>
      <c r="D1554" s="53">
        <v>133190</v>
      </c>
      <c r="E1554" s="50">
        <v>137040</v>
      </c>
      <c r="F1554" s="50">
        <f t="shared" ref="F1554:H1554" si="1193">F1556+F1565+F1566+F1567</f>
        <v>208750</v>
      </c>
      <c r="G1554" s="50">
        <f t="shared" si="1193"/>
        <v>0</v>
      </c>
      <c r="H1554" s="50">
        <f t="shared" si="1193"/>
        <v>208750</v>
      </c>
      <c r="I1554" s="50">
        <f>I1556+I1565+I1566+I1567</f>
        <v>-15800</v>
      </c>
      <c r="J1554" s="50">
        <f t="shared" ref="J1554" si="1194">J1556+J1565+J1566+J1567</f>
        <v>192950</v>
      </c>
      <c r="K1554" s="50">
        <f t="shared" ref="K1554" si="1195">K1556+K1565+K1566+K1567</f>
        <v>115846</v>
      </c>
      <c r="L1554" s="50">
        <f>L1556+L1565+L1566+L1567</f>
        <v>201800</v>
      </c>
      <c r="M1554" s="335">
        <f t="shared" si="1186"/>
        <v>4.586680487172843E-2</v>
      </c>
      <c r="N1554" s="329">
        <f t="shared" si="1183"/>
        <v>8850</v>
      </c>
    </row>
    <row r="1555" spans="1:14" s="5" customFormat="1" ht="12.6" hidden="1">
      <c r="A1555" s="72"/>
      <c r="B1555" s="74"/>
      <c r="C1555" s="131"/>
      <c r="D1555" s="51"/>
      <c r="E1555" s="94"/>
      <c r="F1555" s="225"/>
      <c r="G1555" s="94"/>
      <c r="H1555" s="94"/>
      <c r="I1555" s="94"/>
      <c r="J1555" s="94"/>
      <c r="K1555" s="94"/>
      <c r="L1555" s="225"/>
      <c r="M1555" s="335" t="e">
        <f t="shared" si="1186"/>
        <v>#DIV/0!</v>
      </c>
      <c r="N1555" s="329">
        <f t="shared" si="1183"/>
        <v>0</v>
      </c>
    </row>
    <row r="1556" spans="1:14" s="5" customFormat="1" ht="14.1" customHeight="1">
      <c r="A1556" s="32"/>
      <c r="B1556" s="33" t="s">
        <v>727</v>
      </c>
      <c r="C1556" s="34" t="s">
        <v>728</v>
      </c>
      <c r="D1556" s="121">
        <v>106078</v>
      </c>
      <c r="E1556" s="140">
        <v>91078</v>
      </c>
      <c r="F1556" s="140">
        <f>SUM(F1557:F1564)</f>
        <v>122000</v>
      </c>
      <c r="G1556" s="140">
        <f t="shared" ref="G1556:I1556" si="1196">SUM(G1557:G1564)</f>
        <v>0</v>
      </c>
      <c r="H1556" s="140">
        <f>SUM(H1557:H1564)</f>
        <v>122000</v>
      </c>
      <c r="I1556" s="140">
        <f t="shared" si="1196"/>
        <v>0</v>
      </c>
      <c r="J1556" s="140">
        <f>SUM(J1557:J1564)</f>
        <v>122000</v>
      </c>
      <c r="K1556" s="140">
        <f>SUM(K1557:K1564)</f>
        <v>68170</v>
      </c>
      <c r="L1556" s="140">
        <f>SUM(L1557:L1564)</f>
        <v>114800</v>
      </c>
      <c r="M1556" s="335">
        <f t="shared" si="1186"/>
        <v>-5.9016393442622953E-2</v>
      </c>
      <c r="N1556" s="329">
        <f t="shared" si="1183"/>
        <v>-7200</v>
      </c>
    </row>
    <row r="1557" spans="1:14" s="5" customFormat="1" ht="14.1" customHeight="1">
      <c r="A1557" s="72"/>
      <c r="B1557" s="74"/>
      <c r="C1557" s="185" t="s">
        <v>729</v>
      </c>
      <c r="D1557" s="51"/>
      <c r="E1557" s="182"/>
      <c r="F1557" s="227">
        <v>95000</v>
      </c>
      <c r="G1557" s="182"/>
      <c r="H1557" s="182">
        <f>F1557+G1557</f>
        <v>95000</v>
      </c>
      <c r="I1557" s="182"/>
      <c r="J1557" s="182">
        <f>H1557+I1557</f>
        <v>95000</v>
      </c>
      <c r="K1557" s="182">
        <v>52002</v>
      </c>
      <c r="L1557" s="227">
        <v>80000</v>
      </c>
      <c r="M1557" s="335">
        <f t="shared" si="1186"/>
        <v>-0.15789473684210525</v>
      </c>
      <c r="N1557" s="329">
        <f t="shared" si="1183"/>
        <v>-15000</v>
      </c>
    </row>
    <row r="1558" spans="1:14" s="5" customFormat="1" ht="14.1" customHeight="1">
      <c r="A1558" s="72"/>
      <c r="B1558" s="74"/>
      <c r="C1558" s="185" t="s">
        <v>730</v>
      </c>
      <c r="D1558" s="51"/>
      <c r="E1558" s="182"/>
      <c r="F1558" s="227">
        <v>4000</v>
      </c>
      <c r="G1558" s="182"/>
      <c r="H1558" s="182">
        <f t="shared" ref="H1558:H1564" si="1197">F1558+G1558</f>
        <v>4000</v>
      </c>
      <c r="I1558" s="182"/>
      <c r="J1558" s="182">
        <f t="shared" ref="J1558:J1564" si="1198">H1558+I1558</f>
        <v>4000</v>
      </c>
      <c r="K1558" s="182">
        <v>3100</v>
      </c>
      <c r="L1558" s="227">
        <v>6000</v>
      </c>
      <c r="M1558" s="335">
        <f t="shared" si="1186"/>
        <v>0.5</v>
      </c>
      <c r="N1558" s="329">
        <f t="shared" si="1183"/>
        <v>2000</v>
      </c>
    </row>
    <row r="1559" spans="1:14" s="5" customFormat="1" ht="14.1" customHeight="1">
      <c r="A1559" s="72"/>
      <c r="B1559" s="74"/>
      <c r="C1559" s="185" t="s">
        <v>731</v>
      </c>
      <c r="D1559" s="51"/>
      <c r="E1559" s="182"/>
      <c r="F1559" s="227">
        <v>1500</v>
      </c>
      <c r="G1559" s="182"/>
      <c r="H1559" s="182">
        <f t="shared" si="1197"/>
        <v>1500</v>
      </c>
      <c r="I1559" s="182"/>
      <c r="J1559" s="182">
        <f t="shared" si="1198"/>
        <v>1500</v>
      </c>
      <c r="K1559" s="182">
        <v>1119</v>
      </c>
      <c r="L1559" s="227">
        <v>6800</v>
      </c>
      <c r="M1559" s="335">
        <f t="shared" si="1186"/>
        <v>3.5333333333333332</v>
      </c>
      <c r="N1559" s="329">
        <f t="shared" si="1183"/>
        <v>5300</v>
      </c>
    </row>
    <row r="1560" spans="1:14" s="5" customFormat="1" ht="14.1" customHeight="1">
      <c r="A1560" s="72"/>
      <c r="B1560" s="74"/>
      <c r="C1560" s="185" t="s">
        <v>732</v>
      </c>
      <c r="D1560" s="51"/>
      <c r="E1560" s="182"/>
      <c r="F1560" s="227">
        <v>6000</v>
      </c>
      <c r="G1560" s="182"/>
      <c r="H1560" s="182">
        <f t="shared" si="1197"/>
        <v>6000</v>
      </c>
      <c r="I1560" s="182"/>
      <c r="J1560" s="182">
        <f t="shared" si="1198"/>
        <v>6000</v>
      </c>
      <c r="K1560" s="182">
        <v>2563</v>
      </c>
      <c r="L1560" s="227">
        <v>5000</v>
      </c>
      <c r="M1560" s="335">
        <f t="shared" si="1186"/>
        <v>-0.16666666666666666</v>
      </c>
      <c r="N1560" s="329">
        <f t="shared" si="1183"/>
        <v>-1000</v>
      </c>
    </row>
    <row r="1561" spans="1:14" s="5" customFormat="1" ht="14.1" customHeight="1">
      <c r="A1561" s="72"/>
      <c r="B1561" s="74"/>
      <c r="C1561" s="185" t="s">
        <v>733</v>
      </c>
      <c r="D1561" s="51"/>
      <c r="E1561" s="182"/>
      <c r="F1561" s="227">
        <v>7500</v>
      </c>
      <c r="G1561" s="182"/>
      <c r="H1561" s="182">
        <f t="shared" si="1197"/>
        <v>7500</v>
      </c>
      <c r="I1561" s="182"/>
      <c r="J1561" s="182">
        <f t="shared" si="1198"/>
        <v>7500</v>
      </c>
      <c r="K1561" s="182">
        <v>2500</v>
      </c>
      <c r="L1561" s="227">
        <v>5000</v>
      </c>
      <c r="M1561" s="335">
        <f t="shared" si="1186"/>
        <v>-0.33333333333333331</v>
      </c>
      <c r="N1561" s="329">
        <f t="shared" si="1183"/>
        <v>-2500</v>
      </c>
    </row>
    <row r="1562" spans="1:14" s="5" customFormat="1" ht="14.1" customHeight="1">
      <c r="A1562" s="72"/>
      <c r="B1562" s="74"/>
      <c r="C1562" s="185" t="s">
        <v>734</v>
      </c>
      <c r="D1562" s="51"/>
      <c r="E1562" s="182"/>
      <c r="F1562" s="227">
        <v>1000</v>
      </c>
      <c r="G1562" s="182"/>
      <c r="H1562" s="182">
        <f t="shared" si="1197"/>
        <v>1000</v>
      </c>
      <c r="I1562" s="182"/>
      <c r="J1562" s="182">
        <f t="shared" si="1198"/>
        <v>1000</v>
      </c>
      <c r="K1562" s="182"/>
      <c r="L1562" s="227">
        <v>1000</v>
      </c>
      <c r="M1562" s="335">
        <f t="shared" si="1186"/>
        <v>0</v>
      </c>
      <c r="N1562" s="329">
        <f t="shared" si="1183"/>
        <v>0</v>
      </c>
    </row>
    <row r="1563" spans="1:14" s="5" customFormat="1" ht="14.1" customHeight="1">
      <c r="A1563" s="72"/>
      <c r="B1563" s="74"/>
      <c r="C1563" s="185" t="s">
        <v>735</v>
      </c>
      <c r="D1563" s="51"/>
      <c r="E1563" s="182"/>
      <c r="F1563" s="227">
        <v>1000</v>
      </c>
      <c r="G1563" s="182"/>
      <c r="H1563" s="182">
        <f t="shared" si="1197"/>
        <v>1000</v>
      </c>
      <c r="I1563" s="182"/>
      <c r="J1563" s="182">
        <f t="shared" si="1198"/>
        <v>1000</v>
      </c>
      <c r="K1563" s="182">
        <v>425</v>
      </c>
      <c r="L1563" s="227">
        <v>1000</v>
      </c>
      <c r="M1563" s="335">
        <f t="shared" si="1186"/>
        <v>0</v>
      </c>
      <c r="N1563" s="329">
        <f t="shared" si="1183"/>
        <v>0</v>
      </c>
    </row>
    <row r="1564" spans="1:14" s="5" customFormat="1" ht="14.1" customHeight="1">
      <c r="A1564" s="72"/>
      <c r="B1564" s="74"/>
      <c r="C1564" s="185" t="s">
        <v>736</v>
      </c>
      <c r="D1564" s="51"/>
      <c r="E1564" s="182"/>
      <c r="F1564" s="227">
        <v>6000</v>
      </c>
      <c r="G1564" s="182"/>
      <c r="H1564" s="182">
        <f t="shared" si="1197"/>
        <v>6000</v>
      </c>
      <c r="I1564" s="182"/>
      <c r="J1564" s="182">
        <f t="shared" si="1198"/>
        <v>6000</v>
      </c>
      <c r="K1564" s="182">
        <v>6461</v>
      </c>
      <c r="L1564" s="227">
        <v>10000</v>
      </c>
      <c r="M1564" s="335">
        <f t="shared" si="1186"/>
        <v>0.66666666666666663</v>
      </c>
      <c r="N1564" s="329">
        <f t="shared" si="1183"/>
        <v>4000</v>
      </c>
    </row>
    <row r="1565" spans="1:14" s="5" customFormat="1" ht="14.1" customHeight="1">
      <c r="A1565" s="32"/>
      <c r="B1565" s="33" t="s">
        <v>737</v>
      </c>
      <c r="C1565" s="34" t="s">
        <v>738</v>
      </c>
      <c r="D1565" s="121">
        <v>8000</v>
      </c>
      <c r="E1565" s="140">
        <v>8000</v>
      </c>
      <c r="F1565" s="140">
        <v>16000</v>
      </c>
      <c r="G1565" s="140"/>
      <c r="H1565" s="140">
        <f>+F1565+G1565</f>
        <v>16000</v>
      </c>
      <c r="I1565" s="140"/>
      <c r="J1565" s="140">
        <f>+H1565+I1565</f>
        <v>16000</v>
      </c>
      <c r="K1565" s="140">
        <v>5519</v>
      </c>
      <c r="L1565" s="140">
        <v>16000</v>
      </c>
      <c r="M1565" s="335">
        <f t="shared" si="1186"/>
        <v>0</v>
      </c>
      <c r="N1565" s="329">
        <f t="shared" si="1183"/>
        <v>0</v>
      </c>
    </row>
    <row r="1566" spans="1:14" s="5" customFormat="1" ht="14.1" customHeight="1">
      <c r="A1566" s="72"/>
      <c r="B1566" s="38">
        <v>50</v>
      </c>
      <c r="C1566" s="39" t="s">
        <v>211</v>
      </c>
      <c r="D1566" s="121">
        <v>6262</v>
      </c>
      <c r="E1566" s="143">
        <v>7762</v>
      </c>
      <c r="F1566" s="226">
        <v>12000</v>
      </c>
      <c r="G1566" s="143"/>
      <c r="H1566" s="143">
        <f>+F1566+G1566</f>
        <v>12000</v>
      </c>
      <c r="I1566" s="143">
        <v>-2000</v>
      </c>
      <c r="J1566" s="143">
        <f>+H1566+I1566</f>
        <v>10000</v>
      </c>
      <c r="K1566" s="143">
        <v>4121</v>
      </c>
      <c r="L1566" s="226">
        <v>8000</v>
      </c>
      <c r="M1566" s="335">
        <f t="shared" si="1186"/>
        <v>-0.2</v>
      </c>
      <c r="N1566" s="329">
        <f t="shared" si="1183"/>
        <v>-2000</v>
      </c>
    </row>
    <row r="1567" spans="1:14" s="5" customFormat="1" ht="14.1" customHeight="1">
      <c r="A1567" s="72"/>
      <c r="B1567" s="38">
        <v>55</v>
      </c>
      <c r="C1567" s="39" t="s">
        <v>213</v>
      </c>
      <c r="D1567" s="121"/>
      <c r="E1567" s="137">
        <v>30200</v>
      </c>
      <c r="F1567" s="137">
        <f>SUM(F1568+F1569+F1570)</f>
        <v>58750</v>
      </c>
      <c r="G1567" s="137">
        <f t="shared" ref="G1567:H1567" si="1199">SUM(G1568+G1569+G1570)</f>
        <v>0</v>
      </c>
      <c r="H1567" s="137">
        <f t="shared" si="1199"/>
        <v>58750</v>
      </c>
      <c r="I1567" s="137">
        <f t="shared" ref="I1567:J1567" si="1200">SUM(I1568+I1569+I1570)</f>
        <v>-13800</v>
      </c>
      <c r="J1567" s="137">
        <f t="shared" si="1200"/>
        <v>44950</v>
      </c>
      <c r="K1567" s="137">
        <f t="shared" ref="K1567" si="1201">SUM(K1568+K1569+K1570)</f>
        <v>38036</v>
      </c>
      <c r="L1567" s="137">
        <f>SUM(L1568+L1569+L1570)</f>
        <v>63000</v>
      </c>
      <c r="M1567" s="335">
        <f t="shared" si="1186"/>
        <v>0.40155728587319245</v>
      </c>
      <c r="N1567" s="329">
        <f t="shared" si="1183"/>
        <v>18050</v>
      </c>
    </row>
    <row r="1568" spans="1:14" s="5" customFormat="1" ht="14.1" customHeight="1">
      <c r="A1568" s="72"/>
      <c r="B1568" s="33">
        <v>5513</v>
      </c>
      <c r="C1568" s="34" t="s">
        <v>739</v>
      </c>
      <c r="D1568" s="121"/>
      <c r="E1568" s="17">
        <v>0</v>
      </c>
      <c r="F1568" s="226">
        <v>700</v>
      </c>
      <c r="G1568" s="17"/>
      <c r="H1568" s="17">
        <f>+F1568+G1568</f>
        <v>700</v>
      </c>
      <c r="I1568" s="17"/>
      <c r="J1568" s="17">
        <f>+H1568+I1568</f>
        <v>700</v>
      </c>
      <c r="K1568" s="17">
        <v>484</v>
      </c>
      <c r="L1568" s="226">
        <v>700</v>
      </c>
      <c r="M1568" s="335">
        <f t="shared" si="1186"/>
        <v>0</v>
      </c>
      <c r="N1568" s="329">
        <f t="shared" si="1183"/>
        <v>0</v>
      </c>
    </row>
    <row r="1569" spans="1:14" s="5" customFormat="1" ht="14.1" customHeight="1">
      <c r="A1569" s="72"/>
      <c r="B1569" s="33">
        <v>5522</v>
      </c>
      <c r="C1569" s="34" t="s">
        <v>262</v>
      </c>
      <c r="D1569" s="121"/>
      <c r="E1569" s="17"/>
      <c r="F1569" s="226">
        <v>50</v>
      </c>
      <c r="G1569" s="17"/>
      <c r="H1569" s="17">
        <f>+F1569+G1569</f>
        <v>50</v>
      </c>
      <c r="I1569" s="17"/>
      <c r="J1569" s="17">
        <f>+H1569+I1569</f>
        <v>50</v>
      </c>
      <c r="K1569" s="17">
        <v>-5</v>
      </c>
      <c r="L1569" s="226">
        <v>0</v>
      </c>
      <c r="M1569" s="335">
        <f t="shared" si="1186"/>
        <v>-1</v>
      </c>
      <c r="N1569" s="329">
        <f t="shared" si="1183"/>
        <v>-50</v>
      </c>
    </row>
    <row r="1570" spans="1:14" s="5" customFormat="1" ht="14.1" customHeight="1">
      <c r="A1570" s="72"/>
      <c r="B1570" s="33">
        <v>5526</v>
      </c>
      <c r="C1570" s="80" t="s">
        <v>740</v>
      </c>
      <c r="D1570" s="121">
        <v>7200</v>
      </c>
      <c r="E1570" s="17">
        <v>30200</v>
      </c>
      <c r="F1570" s="226">
        <f>SUM(F1571:F1574)</f>
        <v>58000</v>
      </c>
      <c r="G1570" s="17">
        <f t="shared" ref="G1570:H1570" si="1202">SUM(G1571:G1574)</f>
        <v>0</v>
      </c>
      <c r="H1570" s="17">
        <f t="shared" si="1202"/>
        <v>58000</v>
      </c>
      <c r="I1570" s="17">
        <f t="shared" ref="I1570:K1570" si="1203">SUM(I1571:I1574)</f>
        <v>-13800</v>
      </c>
      <c r="J1570" s="17">
        <f t="shared" si="1203"/>
        <v>44200</v>
      </c>
      <c r="K1570" s="17">
        <f t="shared" si="1203"/>
        <v>37557</v>
      </c>
      <c r="L1570" s="226">
        <f>SUM(L1571:L1574)</f>
        <v>62300</v>
      </c>
      <c r="M1570" s="335">
        <f t="shared" si="1186"/>
        <v>0.4095022624434389</v>
      </c>
      <c r="N1570" s="329">
        <f t="shared" si="1183"/>
        <v>18100</v>
      </c>
    </row>
    <row r="1571" spans="1:14" s="5" customFormat="1" ht="14.1" customHeight="1">
      <c r="A1571" s="72"/>
      <c r="B1571" s="74"/>
      <c r="C1571" s="208" t="s">
        <v>741</v>
      </c>
      <c r="D1571" s="121"/>
      <c r="E1571" s="182">
        <v>0</v>
      </c>
      <c r="F1571" s="227">
        <v>5000</v>
      </c>
      <c r="G1571" s="182"/>
      <c r="H1571" s="182">
        <f t="shared" ref="H1571:H1574" si="1204">F1571+G1571</f>
        <v>5000</v>
      </c>
      <c r="I1571" s="182">
        <v>2000</v>
      </c>
      <c r="J1571" s="182">
        <f t="shared" ref="J1571:J1574" si="1205">H1571+I1571</f>
        <v>7000</v>
      </c>
      <c r="K1571" s="182">
        <v>1833</v>
      </c>
      <c r="L1571" s="227">
        <v>4800</v>
      </c>
      <c r="M1571" s="335">
        <f t="shared" si="1186"/>
        <v>-0.31428571428571428</v>
      </c>
      <c r="N1571" s="329">
        <f t="shared" si="1183"/>
        <v>-2200</v>
      </c>
    </row>
    <row r="1572" spans="1:14" s="5" customFormat="1" ht="14.1" customHeight="1">
      <c r="A1572" s="72"/>
      <c r="B1572" s="74"/>
      <c r="C1572" s="208" t="s">
        <v>742</v>
      </c>
      <c r="D1572" s="121"/>
      <c r="E1572" s="182">
        <v>0</v>
      </c>
      <c r="F1572" s="227">
        <v>47000</v>
      </c>
      <c r="G1572" s="182"/>
      <c r="H1572" s="182">
        <f t="shared" si="1204"/>
        <v>47000</v>
      </c>
      <c r="I1572" s="182">
        <v>-17000</v>
      </c>
      <c r="J1572" s="182">
        <f t="shared" si="1205"/>
        <v>30000</v>
      </c>
      <c r="K1572" s="182">
        <v>31522</v>
      </c>
      <c r="L1572" s="227">
        <v>51000</v>
      </c>
      <c r="M1572" s="335">
        <f t="shared" si="1186"/>
        <v>0.7</v>
      </c>
      <c r="N1572" s="329">
        <f t="shared" si="1183"/>
        <v>21000</v>
      </c>
    </row>
    <row r="1573" spans="1:14" ht="14.1" customHeight="1">
      <c r="A1573" s="72"/>
      <c r="B1573" s="74"/>
      <c r="C1573" s="208" t="s">
        <v>743</v>
      </c>
      <c r="D1573" s="209">
        <v>7201</v>
      </c>
      <c r="E1573" s="182">
        <v>0</v>
      </c>
      <c r="F1573" s="227">
        <v>3000</v>
      </c>
      <c r="G1573" s="182"/>
      <c r="H1573" s="182">
        <f t="shared" si="1204"/>
        <v>3000</v>
      </c>
      <c r="I1573" s="182">
        <v>1200</v>
      </c>
      <c r="J1573" s="182">
        <f t="shared" si="1205"/>
        <v>4200</v>
      </c>
      <c r="K1573" s="182">
        <v>2800</v>
      </c>
      <c r="L1573" s="227">
        <v>4500</v>
      </c>
      <c r="M1573" s="335">
        <f t="shared" si="1186"/>
        <v>7.1428571428571425E-2</v>
      </c>
      <c r="N1573" s="329">
        <f t="shared" si="1183"/>
        <v>300</v>
      </c>
    </row>
    <row r="1574" spans="1:14" ht="14.1" customHeight="1">
      <c r="A1574" s="72"/>
      <c r="B1574" s="74"/>
      <c r="C1574" s="208" t="s">
        <v>744</v>
      </c>
      <c r="D1574" s="209">
        <v>7202</v>
      </c>
      <c r="E1574" s="182">
        <v>0</v>
      </c>
      <c r="F1574" s="227">
        <v>3000</v>
      </c>
      <c r="G1574" s="182"/>
      <c r="H1574" s="182">
        <f t="shared" si="1204"/>
        <v>3000</v>
      </c>
      <c r="I1574" s="182"/>
      <c r="J1574" s="182">
        <f t="shared" si="1205"/>
        <v>3000</v>
      </c>
      <c r="K1574" s="182">
        <v>1402</v>
      </c>
      <c r="L1574" s="227">
        <v>2000</v>
      </c>
      <c r="M1574" s="335">
        <f t="shared" si="1186"/>
        <v>-0.33333333333333331</v>
      </c>
      <c r="N1574" s="329">
        <f t="shared" si="1183"/>
        <v>-1000</v>
      </c>
    </row>
    <row r="1575" spans="1:14" s="5" customFormat="1" ht="14.1" customHeight="1">
      <c r="A1575" s="45" t="s">
        <v>745</v>
      </c>
      <c r="B1575" s="251" t="s">
        <v>675</v>
      </c>
      <c r="C1575" s="79" t="s">
        <v>746</v>
      </c>
      <c r="D1575" s="53">
        <v>97190</v>
      </c>
      <c r="E1575" s="54">
        <v>77435</v>
      </c>
      <c r="F1575" s="54">
        <f t="shared" ref="F1575:J1575" si="1206">F1576+F1584+F1585+F1586</f>
        <v>116215</v>
      </c>
      <c r="G1575" s="54">
        <f t="shared" si="1206"/>
        <v>0</v>
      </c>
      <c r="H1575" s="54">
        <f t="shared" si="1206"/>
        <v>116215</v>
      </c>
      <c r="I1575" s="54">
        <f t="shared" si="1206"/>
        <v>40755</v>
      </c>
      <c r="J1575" s="54">
        <f t="shared" si="1206"/>
        <v>156970</v>
      </c>
      <c r="K1575" s="54">
        <f t="shared" ref="K1575" si="1207">K1576+K1584+K1585+K1586</f>
        <v>106362.3</v>
      </c>
      <c r="L1575" s="54">
        <f>L1576+L1584+L1585+L1586</f>
        <v>175000</v>
      </c>
      <c r="M1575" s="335">
        <f t="shared" si="1186"/>
        <v>0.1148627126202459</v>
      </c>
      <c r="N1575" s="329">
        <f t="shared" si="1183"/>
        <v>18030</v>
      </c>
    </row>
    <row r="1576" spans="1:14" ht="14.1" customHeight="1">
      <c r="A1576" s="32"/>
      <c r="B1576" s="33" t="s">
        <v>727</v>
      </c>
      <c r="C1576" s="81" t="s">
        <v>728</v>
      </c>
      <c r="D1576" s="52">
        <v>20000</v>
      </c>
      <c r="E1576" s="140">
        <v>25000</v>
      </c>
      <c r="F1576" s="140">
        <f>SUM(F1577:F1583)</f>
        <v>45000</v>
      </c>
      <c r="G1576" s="140">
        <f t="shared" ref="G1576:H1576" si="1208">SUM(G1577:G1583)</f>
        <v>0</v>
      </c>
      <c r="H1576" s="140">
        <f t="shared" si="1208"/>
        <v>45000</v>
      </c>
      <c r="I1576" s="140">
        <f t="shared" ref="I1576:J1576" si="1209">SUM(I1577:I1583)</f>
        <v>-11000</v>
      </c>
      <c r="J1576" s="140">
        <f t="shared" si="1209"/>
        <v>34000</v>
      </c>
      <c r="K1576" s="140">
        <f t="shared" ref="K1576" si="1210">SUM(K1577:K1583)</f>
        <v>16078</v>
      </c>
      <c r="L1576" s="140">
        <f>SUM(L1577:L1583)</f>
        <v>25000</v>
      </c>
      <c r="M1576" s="335">
        <f t="shared" si="1186"/>
        <v>-0.26470588235294118</v>
      </c>
      <c r="N1576" s="329">
        <f t="shared" si="1183"/>
        <v>-9000</v>
      </c>
    </row>
    <row r="1577" spans="1:14" ht="14.1" customHeight="1">
      <c r="A1577" s="32"/>
      <c r="B1577" s="82"/>
      <c r="C1577" s="185" t="s">
        <v>729</v>
      </c>
      <c r="D1577" s="52"/>
      <c r="E1577" s="182"/>
      <c r="F1577" s="227">
        <v>20000</v>
      </c>
      <c r="G1577" s="182"/>
      <c r="H1577" s="182">
        <f t="shared" ref="H1577:H1583" si="1211">F1577+G1577</f>
        <v>20000</v>
      </c>
      <c r="I1577" s="182">
        <v>-8000</v>
      </c>
      <c r="J1577" s="182">
        <f t="shared" ref="J1577:J1583" si="1212">H1577+I1577</f>
        <v>12000</v>
      </c>
      <c r="K1577" s="182">
        <v>7020</v>
      </c>
      <c r="L1577" s="227">
        <v>10000</v>
      </c>
      <c r="M1577" s="335">
        <f t="shared" si="1186"/>
        <v>-0.16666666666666666</v>
      </c>
      <c r="N1577" s="329">
        <f t="shared" si="1183"/>
        <v>-2000</v>
      </c>
    </row>
    <row r="1578" spans="1:14" ht="14.1" customHeight="1">
      <c r="A1578" s="32"/>
      <c r="B1578" s="212" t="s">
        <v>747</v>
      </c>
      <c r="C1578" s="185" t="s">
        <v>748</v>
      </c>
      <c r="D1578" s="52"/>
      <c r="E1578" s="182"/>
      <c r="F1578" s="227">
        <v>1000</v>
      </c>
      <c r="G1578" s="182"/>
      <c r="H1578" s="182">
        <f t="shared" si="1211"/>
        <v>1000</v>
      </c>
      <c r="I1578" s="182"/>
      <c r="J1578" s="182">
        <f t="shared" si="1212"/>
        <v>1000</v>
      </c>
      <c r="K1578" s="182"/>
      <c r="L1578" s="227">
        <v>3000</v>
      </c>
      <c r="M1578" s="335">
        <f t="shared" si="1186"/>
        <v>2</v>
      </c>
      <c r="N1578" s="329">
        <f t="shared" si="1183"/>
        <v>2000</v>
      </c>
    </row>
    <row r="1579" spans="1:14" ht="14.1" customHeight="1">
      <c r="A1579" s="32"/>
      <c r="B1579" s="212" t="s">
        <v>747</v>
      </c>
      <c r="C1579" s="185" t="s">
        <v>749</v>
      </c>
      <c r="D1579" s="52"/>
      <c r="E1579" s="182"/>
      <c r="F1579" s="227">
        <v>3000</v>
      </c>
      <c r="G1579" s="182"/>
      <c r="H1579" s="182">
        <f t="shared" si="1211"/>
        <v>3000</v>
      </c>
      <c r="I1579" s="182"/>
      <c r="J1579" s="182">
        <f t="shared" si="1212"/>
        <v>3000</v>
      </c>
      <c r="K1579" s="182">
        <v>1315</v>
      </c>
      <c r="L1579" s="227">
        <v>1000</v>
      </c>
      <c r="M1579" s="335">
        <f t="shared" si="1186"/>
        <v>-0.66666666666666663</v>
      </c>
      <c r="N1579" s="329">
        <f t="shared" si="1183"/>
        <v>-2000</v>
      </c>
    </row>
    <row r="1580" spans="1:14" ht="14.1" customHeight="1">
      <c r="A1580" s="32"/>
      <c r="B1580" s="212" t="s">
        <v>747</v>
      </c>
      <c r="C1580" s="185" t="s">
        <v>750</v>
      </c>
      <c r="D1580" s="52"/>
      <c r="E1580" s="182"/>
      <c r="F1580" s="227">
        <v>2000</v>
      </c>
      <c r="G1580" s="182"/>
      <c r="H1580" s="182">
        <f t="shared" si="1211"/>
        <v>2000</v>
      </c>
      <c r="I1580" s="182"/>
      <c r="J1580" s="182">
        <f t="shared" si="1212"/>
        <v>2000</v>
      </c>
      <c r="K1580" s="182">
        <v>460</v>
      </c>
      <c r="L1580" s="227">
        <v>1000</v>
      </c>
      <c r="M1580" s="335">
        <f t="shared" si="1186"/>
        <v>-0.5</v>
      </c>
      <c r="N1580" s="329">
        <f t="shared" si="1183"/>
        <v>-1000</v>
      </c>
    </row>
    <row r="1581" spans="1:14" ht="14.1" customHeight="1">
      <c r="A1581" s="32"/>
      <c r="B1581" s="212" t="s">
        <v>747</v>
      </c>
      <c r="C1581" s="185" t="s">
        <v>751</v>
      </c>
      <c r="D1581" s="52"/>
      <c r="E1581" s="182"/>
      <c r="F1581" s="227">
        <v>10000</v>
      </c>
      <c r="G1581" s="182"/>
      <c r="H1581" s="182">
        <f t="shared" si="1211"/>
        <v>10000</v>
      </c>
      <c r="I1581" s="182">
        <v>-2000</v>
      </c>
      <c r="J1581" s="182">
        <f t="shared" si="1212"/>
        <v>8000</v>
      </c>
      <c r="K1581" s="182">
        <v>2846</v>
      </c>
      <c r="L1581" s="227">
        <v>2000</v>
      </c>
      <c r="M1581" s="335">
        <f t="shared" si="1186"/>
        <v>-0.75</v>
      </c>
      <c r="N1581" s="329">
        <f t="shared" si="1183"/>
        <v>-6000</v>
      </c>
    </row>
    <row r="1582" spans="1:14" ht="14.1" customHeight="1">
      <c r="A1582" s="32"/>
      <c r="B1582" s="212" t="s">
        <v>747</v>
      </c>
      <c r="C1582" s="185" t="s">
        <v>752</v>
      </c>
      <c r="D1582" s="52"/>
      <c r="E1582" s="182"/>
      <c r="F1582" s="227">
        <v>6000</v>
      </c>
      <c r="G1582" s="182"/>
      <c r="H1582" s="182">
        <f t="shared" si="1211"/>
        <v>6000</v>
      </c>
      <c r="I1582" s="182"/>
      <c r="J1582" s="182">
        <f t="shared" si="1212"/>
        <v>6000</v>
      </c>
      <c r="K1582" s="182">
        <v>3483</v>
      </c>
      <c r="L1582" s="227">
        <v>6000</v>
      </c>
      <c r="M1582" s="335">
        <f t="shared" si="1186"/>
        <v>0</v>
      </c>
      <c r="N1582" s="329">
        <f t="shared" si="1183"/>
        <v>0</v>
      </c>
    </row>
    <row r="1583" spans="1:14" ht="14.1" customHeight="1">
      <c r="A1583" s="32"/>
      <c r="B1583" s="212" t="s">
        <v>747</v>
      </c>
      <c r="C1583" s="185" t="s">
        <v>753</v>
      </c>
      <c r="D1583" s="52"/>
      <c r="E1583" s="182"/>
      <c r="F1583" s="227">
        <v>3000</v>
      </c>
      <c r="G1583" s="182"/>
      <c r="H1583" s="182">
        <f t="shared" si="1211"/>
        <v>3000</v>
      </c>
      <c r="I1583" s="182">
        <v>-1000</v>
      </c>
      <c r="J1583" s="182">
        <f t="shared" si="1212"/>
        <v>2000</v>
      </c>
      <c r="K1583" s="182">
        <v>954</v>
      </c>
      <c r="L1583" s="227">
        <v>2000</v>
      </c>
      <c r="M1583" s="335">
        <f t="shared" si="1186"/>
        <v>0</v>
      </c>
      <c r="N1583" s="329">
        <f t="shared" si="1183"/>
        <v>0</v>
      </c>
    </row>
    <row r="1584" spans="1:14" ht="14.1" customHeight="1">
      <c r="A1584" s="32"/>
      <c r="B1584" s="82">
        <v>4137</v>
      </c>
      <c r="C1584" s="211" t="s">
        <v>754</v>
      </c>
      <c r="D1584" s="52">
        <v>7000</v>
      </c>
      <c r="E1584" s="140">
        <v>7000</v>
      </c>
      <c r="F1584" s="140">
        <v>7000</v>
      </c>
      <c r="G1584" s="140"/>
      <c r="H1584" s="140">
        <f>+F1584+G1584</f>
        <v>7000</v>
      </c>
      <c r="I1584" s="140"/>
      <c r="J1584" s="140">
        <f>+H1584+I1584</f>
        <v>7000</v>
      </c>
      <c r="K1584" s="140">
        <v>3815</v>
      </c>
      <c r="L1584" s="140">
        <v>7000</v>
      </c>
      <c r="M1584" s="335">
        <f t="shared" si="1186"/>
        <v>0</v>
      </c>
      <c r="N1584" s="329">
        <f t="shared" si="1183"/>
        <v>0</v>
      </c>
    </row>
    <row r="1585" spans="1:14" ht="14.1" customHeight="1">
      <c r="A1585" s="72"/>
      <c r="B1585" s="38">
        <v>50</v>
      </c>
      <c r="C1585" s="39" t="s">
        <v>211</v>
      </c>
      <c r="D1585" s="52">
        <v>12435</v>
      </c>
      <c r="E1585" s="143">
        <v>22435</v>
      </c>
      <c r="F1585" s="226">
        <v>16745</v>
      </c>
      <c r="G1585" s="143"/>
      <c r="H1585" s="143">
        <f>+F1585+G1585</f>
        <v>16745</v>
      </c>
      <c r="I1585" s="143">
        <v>33255</v>
      </c>
      <c r="J1585" s="143">
        <f>+H1585+I1585</f>
        <v>50000</v>
      </c>
      <c r="K1585" s="143">
        <v>33039</v>
      </c>
      <c r="L1585" s="226">
        <v>50000</v>
      </c>
      <c r="M1585" s="335">
        <f t="shared" si="1186"/>
        <v>0</v>
      </c>
      <c r="N1585" s="329">
        <f t="shared" si="1183"/>
        <v>0</v>
      </c>
    </row>
    <row r="1586" spans="1:14" ht="14.1" customHeight="1">
      <c r="A1586" s="32"/>
      <c r="B1586" s="38">
        <v>55</v>
      </c>
      <c r="C1586" s="39" t="s">
        <v>213</v>
      </c>
      <c r="D1586" s="52"/>
      <c r="E1586" s="137">
        <v>23000</v>
      </c>
      <c r="F1586" s="137">
        <f>F1587+F1588</f>
        <v>47470</v>
      </c>
      <c r="G1586" s="137">
        <f t="shared" ref="G1586:H1586" si="1213">G1587+G1588</f>
        <v>0</v>
      </c>
      <c r="H1586" s="137">
        <f t="shared" si="1213"/>
        <v>47470</v>
      </c>
      <c r="I1586" s="137">
        <f t="shared" ref="I1586:J1586" si="1214">I1587+I1588</f>
        <v>18500</v>
      </c>
      <c r="J1586" s="137">
        <f t="shared" si="1214"/>
        <v>65970</v>
      </c>
      <c r="K1586" s="137">
        <f t="shared" ref="K1586" si="1215">K1587+K1588</f>
        <v>53430.3</v>
      </c>
      <c r="L1586" s="137">
        <f>L1587+L1588</f>
        <v>93000</v>
      </c>
      <c r="M1586" s="335">
        <f t="shared" si="1186"/>
        <v>0.40973169622555705</v>
      </c>
      <c r="N1586" s="329">
        <f t="shared" si="1183"/>
        <v>27030</v>
      </c>
    </row>
    <row r="1587" spans="1:14" ht="14.1" customHeight="1">
      <c r="A1587" s="32"/>
      <c r="B1587" s="82">
        <v>5513</v>
      </c>
      <c r="C1587" s="34" t="s">
        <v>671</v>
      </c>
      <c r="D1587" s="52"/>
      <c r="E1587" s="17">
        <v>0</v>
      </c>
      <c r="F1587" s="226">
        <v>0</v>
      </c>
      <c r="G1587" s="17"/>
      <c r="H1587" s="17">
        <f>+F1587+G1587</f>
        <v>0</v>
      </c>
      <c r="I1587" s="17"/>
      <c r="J1587" s="17">
        <f>+H1587+I1587</f>
        <v>0</v>
      </c>
      <c r="L1587" s="226">
        <v>0</v>
      </c>
      <c r="M1587" s="335" t="e">
        <f t="shared" si="1186"/>
        <v>#DIV/0!</v>
      </c>
      <c r="N1587" s="329">
        <f t="shared" si="1183"/>
        <v>0</v>
      </c>
    </row>
    <row r="1588" spans="1:14" ht="14.1" customHeight="1">
      <c r="A1588" s="32"/>
      <c r="B1588" s="82">
        <v>5526</v>
      </c>
      <c r="C1588" s="80" t="s">
        <v>755</v>
      </c>
      <c r="D1588" s="52">
        <v>57755</v>
      </c>
      <c r="E1588" s="17"/>
      <c r="F1588" s="226">
        <f>SUM(F1590)</f>
        <v>47470</v>
      </c>
      <c r="G1588" s="17">
        <f t="shared" ref="G1588" si="1216">SUM(G1590)</f>
        <v>0</v>
      </c>
      <c r="H1588" s="17">
        <f t="shared" ref="H1588:I1588" si="1217">H1590+H1591</f>
        <v>47470</v>
      </c>
      <c r="I1588" s="17">
        <f t="shared" si="1217"/>
        <v>18500</v>
      </c>
      <c r="J1588" s="17">
        <f>J1590+J1591+J1589</f>
        <v>65970</v>
      </c>
      <c r="K1588" s="17">
        <f t="shared" ref="K1588" si="1218">K1590+K1591+K1589</f>
        <v>53430.3</v>
      </c>
      <c r="L1588" s="17">
        <f>L1590+L1591+L1589</f>
        <v>93000</v>
      </c>
      <c r="M1588" s="335">
        <f t="shared" si="1186"/>
        <v>0.40973169622555705</v>
      </c>
      <c r="N1588" s="329">
        <f t="shared" si="1183"/>
        <v>27030</v>
      </c>
    </row>
    <row r="1589" spans="1:14" ht="14.1" customHeight="1">
      <c r="A1589" s="32"/>
      <c r="B1589" s="82"/>
      <c r="C1589" s="208" t="s">
        <v>756</v>
      </c>
      <c r="D1589" s="52"/>
      <c r="E1589" s="17"/>
      <c r="F1589" s="226"/>
      <c r="G1589" s="17"/>
      <c r="H1589" s="17"/>
      <c r="I1589" s="17"/>
      <c r="J1589" s="17"/>
      <c r="K1589" s="17">
        <v>6619</v>
      </c>
      <c r="L1589" s="227">
        <v>15000</v>
      </c>
      <c r="M1589" s="335" t="e">
        <f t="shared" si="1186"/>
        <v>#DIV/0!</v>
      </c>
      <c r="N1589" s="329">
        <f t="shared" si="1183"/>
        <v>15000</v>
      </c>
    </row>
    <row r="1590" spans="1:14" ht="12.6">
      <c r="A1590" s="32"/>
      <c r="B1590" s="82"/>
      <c r="C1590" s="208" t="s">
        <v>742</v>
      </c>
      <c r="D1590" s="52"/>
      <c r="E1590" s="182"/>
      <c r="F1590" s="227">
        <v>47470</v>
      </c>
      <c r="G1590" s="182"/>
      <c r="H1590" s="182">
        <f t="shared" ref="H1590:H1591" si="1219">F1590+G1590</f>
        <v>47470</v>
      </c>
      <c r="I1590" s="253">
        <v>10000</v>
      </c>
      <c r="J1590" s="182">
        <f t="shared" ref="J1590:J1591" si="1220">H1590+I1590</f>
        <v>57470</v>
      </c>
      <c r="K1590" s="182">
        <v>43663</v>
      </c>
      <c r="L1590" s="227">
        <v>70000</v>
      </c>
      <c r="M1590" s="335">
        <f t="shared" si="1186"/>
        <v>0.21802679658952498</v>
      </c>
      <c r="N1590" s="329">
        <f t="shared" si="1183"/>
        <v>12530</v>
      </c>
    </row>
    <row r="1591" spans="1:14" ht="12.95" customHeight="1">
      <c r="A1591" s="32"/>
      <c r="B1591" s="82"/>
      <c r="C1591" s="208" t="s">
        <v>757</v>
      </c>
      <c r="D1591" s="52"/>
      <c r="E1591" s="182"/>
      <c r="F1591" s="227"/>
      <c r="G1591" s="182"/>
      <c r="H1591" s="182">
        <f t="shared" si="1219"/>
        <v>0</v>
      </c>
      <c r="I1591" s="253">
        <v>8500</v>
      </c>
      <c r="J1591" s="182">
        <f t="shared" si="1220"/>
        <v>8500</v>
      </c>
      <c r="K1591" s="182">
        <v>3148.3</v>
      </c>
      <c r="L1591" s="227">
        <v>8000</v>
      </c>
      <c r="M1591" s="335">
        <f t="shared" si="1186"/>
        <v>-5.8823529411764705E-2</v>
      </c>
      <c r="N1591" s="329">
        <f t="shared" si="1183"/>
        <v>-500</v>
      </c>
    </row>
    <row r="1592" spans="1:14" ht="12.6" hidden="1">
      <c r="A1592" s="32" t="s">
        <v>758</v>
      </c>
      <c r="B1592" s="82">
        <v>4130</v>
      </c>
      <c r="C1592" s="80" t="s">
        <v>759</v>
      </c>
      <c r="D1592" s="52">
        <v>0</v>
      </c>
      <c r="E1592" s="17"/>
      <c r="F1592" s="226"/>
      <c r="G1592" s="20"/>
      <c r="H1592" s="240"/>
      <c r="I1592" s="20"/>
      <c r="J1592" s="240"/>
      <c r="L1592" s="296"/>
      <c r="M1592" s="335" t="e">
        <f t="shared" si="1186"/>
        <v>#DIV/0!</v>
      </c>
      <c r="N1592" s="329">
        <f t="shared" si="1183"/>
        <v>0</v>
      </c>
    </row>
    <row r="1593" spans="1:14" ht="12.6" hidden="1">
      <c r="A1593" s="32" t="s">
        <v>760</v>
      </c>
      <c r="B1593" s="33">
        <v>4133</v>
      </c>
      <c r="C1593" s="83" t="s">
        <v>761</v>
      </c>
      <c r="D1593" s="52">
        <v>0</v>
      </c>
      <c r="E1593" s="17"/>
      <c r="F1593" s="226"/>
      <c r="G1593" s="20"/>
      <c r="H1593" s="17"/>
      <c r="I1593" s="20"/>
      <c r="J1593" s="17"/>
      <c r="L1593" s="226"/>
      <c r="M1593" s="335" t="e">
        <f t="shared" si="1186"/>
        <v>#DIV/0!</v>
      </c>
      <c r="N1593" s="329">
        <f t="shared" si="1183"/>
        <v>0</v>
      </c>
    </row>
    <row r="1594" spans="1:14" ht="12.6" hidden="1">
      <c r="A1594" s="32" t="s">
        <v>762</v>
      </c>
      <c r="B1594" s="33" t="s">
        <v>763</v>
      </c>
      <c r="C1594" s="34" t="s">
        <v>764</v>
      </c>
      <c r="D1594" s="52">
        <v>0</v>
      </c>
      <c r="E1594" s="17"/>
      <c r="F1594" s="226"/>
      <c r="G1594" s="20"/>
      <c r="H1594" s="17"/>
      <c r="I1594" s="20"/>
      <c r="J1594" s="17"/>
      <c r="L1594" s="226"/>
      <c r="M1594" s="335" t="e">
        <f t="shared" si="1186"/>
        <v>#DIV/0!</v>
      </c>
      <c r="N1594" s="329">
        <f t="shared" si="1183"/>
        <v>0</v>
      </c>
    </row>
    <row r="1595" spans="1:14" s="7" customFormat="1" ht="14.1" customHeight="1">
      <c r="A1595" s="45" t="s">
        <v>765</v>
      </c>
      <c r="B1595" s="46"/>
      <c r="C1595" s="47" t="s">
        <v>766</v>
      </c>
      <c r="D1595" s="53">
        <v>36000</v>
      </c>
      <c r="E1595" s="54">
        <v>5880</v>
      </c>
      <c r="F1595" s="54">
        <f t="shared" ref="F1595:L1595" si="1221">+F1596</f>
        <v>10000</v>
      </c>
      <c r="G1595" s="54">
        <f t="shared" si="1221"/>
        <v>0</v>
      </c>
      <c r="H1595" s="54">
        <f t="shared" si="1221"/>
        <v>10000</v>
      </c>
      <c r="I1595" s="54">
        <f t="shared" si="1221"/>
        <v>0</v>
      </c>
      <c r="J1595" s="54">
        <f t="shared" si="1221"/>
        <v>10000</v>
      </c>
      <c r="K1595" s="54">
        <f t="shared" si="1221"/>
        <v>2300</v>
      </c>
      <c r="L1595" s="54">
        <f t="shared" si="1221"/>
        <v>10000</v>
      </c>
      <c r="M1595" s="335">
        <f t="shared" si="1186"/>
        <v>0</v>
      </c>
      <c r="N1595" s="329">
        <f t="shared" si="1183"/>
        <v>0</v>
      </c>
    </row>
    <row r="1596" spans="1:14" s="7" customFormat="1" ht="14.1" customHeight="1">
      <c r="A1596" s="43"/>
      <c r="B1596" s="82">
        <v>5526</v>
      </c>
      <c r="C1596" s="80" t="s">
        <v>767</v>
      </c>
      <c r="D1596" s="43"/>
      <c r="E1596" s="207">
        <v>5880</v>
      </c>
      <c r="F1596" s="137">
        <v>10000</v>
      </c>
      <c r="G1596" s="207"/>
      <c r="H1596" s="137">
        <f>+F1596+G1596</f>
        <v>10000</v>
      </c>
      <c r="I1596" s="207"/>
      <c r="J1596" s="137">
        <f>+H1596+I1596</f>
        <v>10000</v>
      </c>
      <c r="K1596" s="137">
        <v>2300</v>
      </c>
      <c r="L1596" s="137">
        <v>10000</v>
      </c>
      <c r="M1596" s="335">
        <f t="shared" si="1186"/>
        <v>0</v>
      </c>
      <c r="N1596" s="329">
        <f t="shared" si="1183"/>
        <v>0</v>
      </c>
    </row>
    <row r="1597" spans="1:14" s="7" customFormat="1" ht="14.1" customHeight="1">
      <c r="A1597" s="45" t="s">
        <v>768</v>
      </c>
      <c r="B1597" s="46"/>
      <c r="C1597" s="47" t="s">
        <v>769</v>
      </c>
      <c r="D1597" s="53">
        <v>27100</v>
      </c>
      <c r="E1597" s="54">
        <v>10500</v>
      </c>
      <c r="F1597" s="54">
        <f t="shared" ref="F1597" si="1222">+F1598+F1599</f>
        <v>10000</v>
      </c>
      <c r="G1597" s="54">
        <f t="shared" ref="G1597:H1597" si="1223">+G1598+G1599</f>
        <v>0</v>
      </c>
      <c r="H1597" s="54">
        <f t="shared" si="1223"/>
        <v>10000</v>
      </c>
      <c r="I1597" s="54">
        <f t="shared" ref="I1597:J1597" si="1224">+I1598+I1599</f>
        <v>-2000</v>
      </c>
      <c r="J1597" s="54">
        <f t="shared" si="1224"/>
        <v>8000</v>
      </c>
      <c r="K1597" s="54">
        <f t="shared" ref="K1597:L1597" si="1225">+K1598+K1599</f>
        <v>2420</v>
      </c>
      <c r="L1597" s="54">
        <f t="shared" si="1225"/>
        <v>3000</v>
      </c>
      <c r="M1597" s="335">
        <f t="shared" si="1186"/>
        <v>-0.625</v>
      </c>
      <c r="N1597" s="329">
        <f t="shared" si="1183"/>
        <v>-5000</v>
      </c>
    </row>
    <row r="1598" spans="1:14" s="7" customFormat="1" ht="14.1" customHeight="1">
      <c r="A1598" s="32"/>
      <c r="B1598" s="38">
        <v>50</v>
      </c>
      <c r="C1598" s="39" t="s">
        <v>211</v>
      </c>
      <c r="D1598" s="52">
        <v>27100</v>
      </c>
      <c r="E1598" s="143">
        <v>10140</v>
      </c>
      <c r="F1598" s="226">
        <v>10000</v>
      </c>
      <c r="G1598" s="143"/>
      <c r="H1598" s="143">
        <f>+F1598+G1598</f>
        <v>10000</v>
      </c>
      <c r="I1598" s="143">
        <v>-2000</v>
      </c>
      <c r="J1598" s="143">
        <f>+H1598+I1598</f>
        <v>8000</v>
      </c>
      <c r="K1598" s="143">
        <v>2408</v>
      </c>
      <c r="L1598" s="226">
        <v>3000</v>
      </c>
      <c r="M1598" s="335">
        <f t="shared" si="1186"/>
        <v>-0.625</v>
      </c>
      <c r="N1598" s="329">
        <f t="shared" si="1183"/>
        <v>-5000</v>
      </c>
    </row>
    <row r="1599" spans="1:14" s="7" customFormat="1" ht="12.6">
      <c r="A1599" s="32"/>
      <c r="B1599" s="38">
        <v>55</v>
      </c>
      <c r="C1599" s="39" t="s">
        <v>682</v>
      </c>
      <c r="D1599" s="52"/>
      <c r="E1599" s="137">
        <v>360</v>
      </c>
      <c r="F1599" s="137">
        <f t="shared" ref="F1599:G1599" si="1226">+F1600+F1601+F1602+F1603+F1604+F1606</f>
        <v>0</v>
      </c>
      <c r="G1599" s="137">
        <f t="shared" si="1226"/>
        <v>0</v>
      </c>
      <c r="H1599" s="137">
        <f>+H1600+H1601+H1602+H1603+H1604+H1606</f>
        <v>0</v>
      </c>
      <c r="I1599" s="137">
        <f t="shared" ref="I1599" si="1227">+I1600+I1601+I1602+I1603+I1604+I1606</f>
        <v>0</v>
      </c>
      <c r="J1599" s="137">
        <f>+J1600+J1601+J1602+J1603+J1604+J1606+J1605</f>
        <v>0</v>
      </c>
      <c r="K1599" s="137">
        <f t="shared" ref="K1599:L1599" si="1228">+K1600+K1601+K1602+K1603+K1604+K1606+K1605</f>
        <v>12</v>
      </c>
      <c r="L1599" s="137">
        <f t="shared" si="1228"/>
        <v>0</v>
      </c>
      <c r="M1599" s="335" t="e">
        <f t="shared" si="1186"/>
        <v>#DIV/0!</v>
      </c>
      <c r="N1599" s="329">
        <f t="shared" si="1183"/>
        <v>0</v>
      </c>
    </row>
    <row r="1600" spans="1:14" s="7" customFormat="1" ht="12.6" hidden="1">
      <c r="A1600" s="32"/>
      <c r="B1600" s="33">
        <v>5500</v>
      </c>
      <c r="C1600" s="40" t="s">
        <v>227</v>
      </c>
      <c r="D1600" s="52"/>
      <c r="E1600" s="17"/>
      <c r="F1600" s="226"/>
      <c r="G1600" s="17"/>
      <c r="H1600" s="17">
        <f>F1600+G1600</f>
        <v>0</v>
      </c>
      <c r="I1600" s="17"/>
      <c r="J1600" s="17">
        <f>H1600+I1600</f>
        <v>0</v>
      </c>
      <c r="K1600" s="20"/>
      <c r="L1600" s="226"/>
      <c r="M1600" s="335" t="e">
        <f t="shared" si="1186"/>
        <v>#DIV/0!</v>
      </c>
      <c r="N1600" s="329">
        <f t="shared" si="1183"/>
        <v>0</v>
      </c>
    </row>
    <row r="1601" spans="1:14" s="7" customFormat="1" ht="12.6" hidden="1">
      <c r="A1601" s="32"/>
      <c r="B1601" s="33">
        <v>5504</v>
      </c>
      <c r="C1601" s="34" t="s">
        <v>230</v>
      </c>
      <c r="D1601" s="52"/>
      <c r="E1601" s="17"/>
      <c r="F1601" s="226"/>
      <c r="G1601" s="17"/>
      <c r="H1601" s="17">
        <f t="shared" ref="H1601:H1606" si="1229">F1601+G1601</f>
        <v>0</v>
      </c>
      <c r="I1601" s="17"/>
      <c r="J1601" s="17">
        <f t="shared" ref="J1601:J1606" si="1230">H1601+I1601</f>
        <v>0</v>
      </c>
      <c r="K1601" s="20"/>
      <c r="L1601" s="226"/>
      <c r="M1601" s="335" t="e">
        <f t="shared" si="1186"/>
        <v>#DIV/0!</v>
      </c>
      <c r="N1601" s="329">
        <f t="shared" si="1183"/>
        <v>0</v>
      </c>
    </row>
    <row r="1602" spans="1:14" s="7" customFormat="1" ht="12.6" hidden="1">
      <c r="A1602" s="32"/>
      <c r="B1602" s="33">
        <v>5511</v>
      </c>
      <c r="C1602" s="34" t="s">
        <v>219</v>
      </c>
      <c r="D1602" s="52"/>
      <c r="E1602" s="17"/>
      <c r="F1602" s="226"/>
      <c r="G1602" s="17"/>
      <c r="H1602" s="17">
        <f t="shared" si="1229"/>
        <v>0</v>
      </c>
      <c r="I1602" s="17"/>
      <c r="J1602" s="17">
        <f t="shared" si="1230"/>
        <v>0</v>
      </c>
      <c r="K1602" s="20"/>
      <c r="L1602" s="226"/>
      <c r="M1602" s="335" t="e">
        <f t="shared" si="1186"/>
        <v>#DIV/0!</v>
      </c>
      <c r="N1602" s="329">
        <f t="shared" si="1183"/>
        <v>0</v>
      </c>
    </row>
    <row r="1603" spans="1:14" s="7" customFormat="1" ht="12.6" hidden="1">
      <c r="A1603" s="32"/>
      <c r="B1603" s="33">
        <v>5513</v>
      </c>
      <c r="C1603" s="40" t="s">
        <v>671</v>
      </c>
      <c r="D1603" s="52"/>
      <c r="E1603" s="17"/>
      <c r="F1603" s="226"/>
      <c r="G1603" s="17"/>
      <c r="H1603" s="17">
        <f t="shared" si="1229"/>
        <v>0</v>
      </c>
      <c r="I1603" s="17"/>
      <c r="J1603" s="17">
        <f t="shared" si="1230"/>
        <v>0</v>
      </c>
      <c r="K1603" s="20"/>
      <c r="L1603" s="226"/>
      <c r="M1603" s="335" t="e">
        <f t="shared" si="1186"/>
        <v>#DIV/0!</v>
      </c>
      <c r="N1603" s="329">
        <f t="shared" si="1183"/>
        <v>0</v>
      </c>
    </row>
    <row r="1604" spans="1:14" s="7" customFormat="1" ht="12.6">
      <c r="A1604" s="32"/>
      <c r="B1604" s="33">
        <v>5514</v>
      </c>
      <c r="C1604" s="34" t="s">
        <v>221</v>
      </c>
      <c r="D1604" s="52"/>
      <c r="E1604" s="17"/>
      <c r="F1604" s="226"/>
      <c r="G1604" s="17"/>
      <c r="H1604" s="17">
        <f t="shared" si="1229"/>
        <v>0</v>
      </c>
      <c r="I1604" s="17"/>
      <c r="J1604" s="17">
        <f t="shared" si="1230"/>
        <v>0</v>
      </c>
      <c r="K1604" s="20"/>
      <c r="L1604" s="226"/>
      <c r="M1604" s="335" t="e">
        <f t="shared" si="1186"/>
        <v>#DIV/0!</v>
      </c>
      <c r="N1604" s="329">
        <f t="shared" si="1183"/>
        <v>0</v>
      </c>
    </row>
    <row r="1605" spans="1:14" s="7" customFormat="1" ht="12.6">
      <c r="A1605" s="32"/>
      <c r="B1605" s="33">
        <v>5515</v>
      </c>
      <c r="C1605" s="34" t="s">
        <v>257</v>
      </c>
      <c r="D1605" s="52"/>
      <c r="E1605" s="17"/>
      <c r="F1605" s="226"/>
      <c r="G1605" s="17"/>
      <c r="H1605" s="17">
        <f t="shared" si="1229"/>
        <v>0</v>
      </c>
      <c r="I1605" s="17"/>
      <c r="J1605" s="17">
        <f t="shared" si="1230"/>
        <v>0</v>
      </c>
      <c r="K1605" s="20">
        <v>12</v>
      </c>
      <c r="L1605" s="226"/>
      <c r="M1605" s="335" t="e">
        <f t="shared" si="1186"/>
        <v>#DIV/0!</v>
      </c>
      <c r="N1605" s="329">
        <f t="shared" si="1183"/>
        <v>0</v>
      </c>
    </row>
    <row r="1606" spans="1:14" s="7" customFormat="1" ht="12.6">
      <c r="A1606" s="32"/>
      <c r="B1606" s="33">
        <v>5526</v>
      </c>
      <c r="C1606" s="34" t="s">
        <v>770</v>
      </c>
      <c r="D1606" s="52"/>
      <c r="E1606" s="17"/>
      <c r="F1606" s="226"/>
      <c r="G1606" s="17"/>
      <c r="H1606" s="17">
        <f t="shared" si="1229"/>
        <v>0</v>
      </c>
      <c r="I1606" s="17"/>
      <c r="J1606" s="17">
        <f t="shared" si="1230"/>
        <v>0</v>
      </c>
      <c r="K1606" s="20"/>
      <c r="L1606" s="226"/>
      <c r="M1606" s="335" t="e">
        <f t="shared" si="1186"/>
        <v>#DIV/0!</v>
      </c>
      <c r="N1606" s="329">
        <f t="shared" ref="N1606:N1669" si="1231">L1606-J1606</f>
        <v>0</v>
      </c>
    </row>
    <row r="1607" spans="1:14" ht="12.6">
      <c r="A1607" s="45" t="s">
        <v>771</v>
      </c>
      <c r="B1607" s="46"/>
      <c r="C1607" s="47" t="s">
        <v>772</v>
      </c>
      <c r="D1607" s="53">
        <v>47215</v>
      </c>
      <c r="E1607" s="50">
        <v>87693</v>
      </c>
      <c r="F1607" s="50">
        <f t="shared" ref="F1607:G1607" si="1232">+F1609+F1610+F1608</f>
        <v>85382</v>
      </c>
      <c r="G1607" s="50">
        <f t="shared" si="1232"/>
        <v>600</v>
      </c>
      <c r="H1607" s="50">
        <f>+H1609+H1610+H1608</f>
        <v>85982</v>
      </c>
      <c r="I1607" s="50">
        <f t="shared" ref="I1607" si="1233">+I1609+I1610+I1608</f>
        <v>18984</v>
      </c>
      <c r="J1607" s="50">
        <f>+J1609+J1610+J1608</f>
        <v>104966</v>
      </c>
      <c r="K1607" s="50">
        <f>+K1609+K1610+K1608</f>
        <v>85564.52</v>
      </c>
      <c r="L1607" s="50">
        <f t="shared" ref="L1607" si="1234">+L1609+L1610+L1608</f>
        <v>108800</v>
      </c>
      <c r="M1607" s="335">
        <f t="shared" si="1186"/>
        <v>3.6526113217613322E-2</v>
      </c>
      <c r="N1607" s="329">
        <f t="shared" si="1231"/>
        <v>3834</v>
      </c>
    </row>
    <row r="1608" spans="1:14" ht="14.1" customHeight="1">
      <c r="A1608" s="32"/>
      <c r="B1608" s="33">
        <v>41</v>
      </c>
      <c r="C1608" s="81" t="s">
        <v>773</v>
      </c>
      <c r="D1608" s="52">
        <v>20000</v>
      </c>
      <c r="E1608" s="140">
        <v>1500</v>
      </c>
      <c r="F1608" s="140">
        <v>0</v>
      </c>
      <c r="G1608" s="140">
        <v>1600</v>
      </c>
      <c r="H1608" s="140">
        <f>F1608+G1608</f>
        <v>1600</v>
      </c>
      <c r="I1608" s="140">
        <v>-800</v>
      </c>
      <c r="J1608" s="140">
        <f>H1608+I1608</f>
        <v>800</v>
      </c>
      <c r="K1608" s="140">
        <v>739</v>
      </c>
      <c r="L1608" s="140">
        <v>1000</v>
      </c>
      <c r="M1608" s="335">
        <f t="shared" si="1186"/>
        <v>0.25</v>
      </c>
      <c r="N1608" s="329">
        <f t="shared" si="1231"/>
        <v>200</v>
      </c>
    </row>
    <row r="1609" spans="1:14" ht="14.1" customHeight="1">
      <c r="A1609" s="32"/>
      <c r="B1609" s="38">
        <v>50</v>
      </c>
      <c r="C1609" s="39" t="s">
        <v>211</v>
      </c>
      <c r="D1609" s="52">
        <v>37585</v>
      </c>
      <c r="E1609" s="143">
        <v>53179</v>
      </c>
      <c r="F1609" s="226">
        <v>60933</v>
      </c>
      <c r="G1609" s="143"/>
      <c r="H1609" s="143">
        <f>+G1609+F1609</f>
        <v>60933</v>
      </c>
      <c r="I1609" s="143">
        <v>15000</v>
      </c>
      <c r="J1609" s="143">
        <f>+I1609+H1609</f>
        <v>75933</v>
      </c>
      <c r="K1609" s="143">
        <v>63049</v>
      </c>
      <c r="L1609" s="225">
        <v>84000</v>
      </c>
      <c r="M1609" s="335">
        <f t="shared" si="1186"/>
        <v>0.10623839437398759</v>
      </c>
      <c r="N1609" s="329">
        <f t="shared" si="1231"/>
        <v>8067</v>
      </c>
    </row>
    <row r="1610" spans="1:14" ht="14.1" customHeight="1">
      <c r="A1610" s="32"/>
      <c r="B1610" s="38">
        <v>55</v>
      </c>
      <c r="C1610" s="39" t="s">
        <v>774</v>
      </c>
      <c r="D1610" s="52">
        <v>9630</v>
      </c>
      <c r="E1610" s="138">
        <v>33014</v>
      </c>
      <c r="F1610" s="138">
        <f t="shared" ref="F1610:H1610" si="1235">+F1611+F1612+F1613+F1624++F1625+F1626+F1627+F1628+F1629+F1630+F1631</f>
        <v>24449</v>
      </c>
      <c r="G1610" s="138">
        <f t="shared" si="1235"/>
        <v>-1000</v>
      </c>
      <c r="H1610" s="138">
        <f t="shared" si="1235"/>
        <v>23449</v>
      </c>
      <c r="I1610" s="138">
        <f t="shared" ref="I1610:J1610" si="1236">+I1611+I1612+I1613+I1624++I1625+I1626+I1627+I1628+I1629+I1630+I1631</f>
        <v>4784</v>
      </c>
      <c r="J1610" s="138">
        <f t="shared" si="1236"/>
        <v>28233</v>
      </c>
      <c r="K1610" s="138">
        <f t="shared" ref="K1610:L1610" si="1237">+K1611+K1612+K1613+K1624++K1625+K1626+K1627+K1628+K1629+K1630+K1631</f>
        <v>21776.52</v>
      </c>
      <c r="L1610" s="137">
        <f t="shared" si="1237"/>
        <v>23800</v>
      </c>
      <c r="M1610" s="335">
        <f t="shared" si="1186"/>
        <v>-0.15701484078914746</v>
      </c>
      <c r="N1610" s="329">
        <f t="shared" si="1231"/>
        <v>-4433</v>
      </c>
    </row>
    <row r="1611" spans="1:14" ht="14.1" customHeight="1">
      <c r="A1611" s="32"/>
      <c r="B1611" s="33">
        <v>5500</v>
      </c>
      <c r="C1611" s="40" t="s">
        <v>227</v>
      </c>
      <c r="D1611" s="52">
        <v>230</v>
      </c>
      <c r="E1611" s="17">
        <v>330</v>
      </c>
      <c r="F1611" s="226">
        <v>400</v>
      </c>
      <c r="G1611" s="17">
        <v>-50</v>
      </c>
      <c r="H1611" s="17">
        <f>+F1611+G1611</f>
        <v>350</v>
      </c>
      <c r="I1611" s="17">
        <v>150</v>
      </c>
      <c r="J1611" s="17">
        <f>+H1611+I1611</f>
        <v>500</v>
      </c>
      <c r="K1611" s="17">
        <v>406</v>
      </c>
      <c r="L1611" s="226">
        <v>500</v>
      </c>
      <c r="M1611" s="335">
        <f t="shared" ref="M1611:M1674" si="1238">(L1611-J1611)/J1611</f>
        <v>0</v>
      </c>
      <c r="N1611" s="329">
        <f t="shared" si="1231"/>
        <v>0</v>
      </c>
    </row>
    <row r="1612" spans="1:14" ht="14.1" customHeight="1">
      <c r="A1612" s="32"/>
      <c r="B1612" s="33">
        <v>5504</v>
      </c>
      <c r="C1612" s="40" t="s">
        <v>230</v>
      </c>
      <c r="D1612" s="52">
        <v>300</v>
      </c>
      <c r="E1612" s="17">
        <v>50</v>
      </c>
      <c r="F1612" s="226">
        <v>900</v>
      </c>
      <c r="G1612" s="17">
        <v>-600</v>
      </c>
      <c r="H1612" s="17">
        <f>+F1612+G1612</f>
        <v>300</v>
      </c>
      <c r="I1612" s="17">
        <v>500</v>
      </c>
      <c r="J1612" s="17">
        <f>+H1612+I1612</f>
        <v>800</v>
      </c>
      <c r="K1612" s="17">
        <v>750</v>
      </c>
      <c r="L1612" s="226">
        <v>800</v>
      </c>
      <c r="M1612" s="335">
        <f t="shared" si="1238"/>
        <v>0</v>
      </c>
      <c r="N1612" s="329">
        <f t="shared" si="1231"/>
        <v>0</v>
      </c>
    </row>
    <row r="1613" spans="1:14" ht="14.1" customHeight="1">
      <c r="A1613" s="32"/>
      <c r="B1613" s="33">
        <v>5511</v>
      </c>
      <c r="C1613" s="34" t="s">
        <v>219</v>
      </c>
      <c r="D1613" s="108">
        <v>6100</v>
      </c>
      <c r="E1613" s="17">
        <v>24634</v>
      </c>
      <c r="F1613" s="226">
        <f t="shared" ref="F1613:H1613" si="1239">SUM(F1614:F1623)</f>
        <v>17599</v>
      </c>
      <c r="G1613" s="17">
        <f t="shared" si="1239"/>
        <v>0</v>
      </c>
      <c r="H1613" s="17">
        <f t="shared" si="1239"/>
        <v>17599</v>
      </c>
      <c r="I1613" s="17">
        <f t="shared" ref="I1613:L1613" si="1240">SUM(I1614:I1623)</f>
        <v>1334</v>
      </c>
      <c r="J1613" s="17">
        <f t="shared" si="1240"/>
        <v>18933</v>
      </c>
      <c r="K1613" s="17">
        <f t="shared" si="1240"/>
        <v>15325</v>
      </c>
      <c r="L1613" s="226">
        <f t="shared" si="1240"/>
        <v>17900</v>
      </c>
      <c r="M1613" s="335">
        <f t="shared" si="1238"/>
        <v>-5.4560819732741773E-2</v>
      </c>
      <c r="N1613" s="329">
        <f t="shared" si="1231"/>
        <v>-1033</v>
      </c>
    </row>
    <row r="1614" spans="1:14" ht="14.1" customHeight="1">
      <c r="A1614" s="32"/>
      <c r="B1614" s="33"/>
      <c r="C1614" s="146" t="s">
        <v>690</v>
      </c>
      <c r="D1614" s="108"/>
      <c r="E1614" s="17">
        <v>0</v>
      </c>
      <c r="F1614" s="227">
        <v>0</v>
      </c>
      <c r="G1614" s="182"/>
      <c r="H1614" s="182">
        <f t="shared" ref="H1614:H1631" si="1241">+G1614+F1614</f>
        <v>0</v>
      </c>
      <c r="I1614" s="182"/>
      <c r="J1614" s="182">
        <f t="shared" ref="J1614:J1631" si="1242">+I1614+H1614</f>
        <v>0</v>
      </c>
      <c r="K1614" s="182"/>
      <c r="L1614" s="227">
        <v>0</v>
      </c>
      <c r="M1614" s="335" t="e">
        <f t="shared" si="1238"/>
        <v>#DIV/0!</v>
      </c>
      <c r="N1614" s="329">
        <f t="shared" si="1231"/>
        <v>0</v>
      </c>
    </row>
    <row r="1615" spans="1:14" s="8" customFormat="1" ht="14.1" customHeight="1">
      <c r="A1615" s="176"/>
      <c r="B1615" s="177"/>
      <c r="C1615" s="146" t="s">
        <v>235</v>
      </c>
      <c r="D1615" s="151">
        <v>2700</v>
      </c>
      <c r="E1615" s="147">
        <v>2700</v>
      </c>
      <c r="F1615" s="229">
        <v>0</v>
      </c>
      <c r="G1615" s="147"/>
      <c r="H1615" s="147">
        <f t="shared" si="1241"/>
        <v>0</v>
      </c>
      <c r="I1615" s="147">
        <v>400</v>
      </c>
      <c r="J1615" s="147">
        <f t="shared" si="1242"/>
        <v>400</v>
      </c>
      <c r="K1615" s="182">
        <v>409</v>
      </c>
      <c r="L1615" s="229">
        <v>400</v>
      </c>
      <c r="M1615" s="335">
        <f t="shared" si="1238"/>
        <v>0</v>
      </c>
      <c r="N1615" s="329">
        <f t="shared" si="1231"/>
        <v>0</v>
      </c>
    </row>
    <row r="1616" spans="1:14" s="8" customFormat="1" ht="14.1" customHeight="1">
      <c r="A1616" s="176"/>
      <c r="B1616" s="177"/>
      <c r="C1616" s="146" t="s">
        <v>775</v>
      </c>
      <c r="D1616" s="151"/>
      <c r="E1616" s="147">
        <v>0</v>
      </c>
      <c r="F1616" s="229">
        <v>0</v>
      </c>
      <c r="G1616" s="147"/>
      <c r="H1616" s="147">
        <f t="shared" si="1241"/>
        <v>0</v>
      </c>
      <c r="I1616" s="147"/>
      <c r="J1616" s="147">
        <f t="shared" si="1242"/>
        <v>0</v>
      </c>
      <c r="K1616" s="182"/>
      <c r="L1616" s="229">
        <v>0</v>
      </c>
      <c r="M1616" s="335" t="e">
        <f t="shared" si="1238"/>
        <v>#DIV/0!</v>
      </c>
      <c r="N1616" s="329">
        <f t="shared" si="1231"/>
        <v>0</v>
      </c>
    </row>
    <row r="1617" spans="1:14" s="8" customFormat="1" ht="14.1" customHeight="1">
      <c r="A1617" s="176"/>
      <c r="B1617" s="177"/>
      <c r="C1617" s="146" t="s">
        <v>776</v>
      </c>
      <c r="D1617" s="151">
        <v>300</v>
      </c>
      <c r="E1617" s="147">
        <v>300</v>
      </c>
      <c r="F1617" s="229">
        <v>100</v>
      </c>
      <c r="G1617" s="147"/>
      <c r="H1617" s="147">
        <f t="shared" si="1241"/>
        <v>100</v>
      </c>
      <c r="I1617" s="147"/>
      <c r="J1617" s="147">
        <f t="shared" si="1242"/>
        <v>100</v>
      </c>
      <c r="K1617" s="182">
        <v>514</v>
      </c>
      <c r="L1617" s="229">
        <v>500</v>
      </c>
      <c r="M1617" s="335">
        <f t="shared" si="1238"/>
        <v>4</v>
      </c>
      <c r="N1617" s="329">
        <f t="shared" si="1231"/>
        <v>400</v>
      </c>
    </row>
    <row r="1618" spans="1:14" s="8" customFormat="1" ht="14.1" customHeight="1">
      <c r="A1618" s="176"/>
      <c r="B1618" s="177"/>
      <c r="C1618" s="146" t="s">
        <v>241</v>
      </c>
      <c r="D1618" s="151"/>
      <c r="E1618" s="147">
        <v>0</v>
      </c>
      <c r="F1618" s="229"/>
      <c r="G1618" s="147"/>
      <c r="H1618" s="147">
        <f t="shared" si="1241"/>
        <v>0</v>
      </c>
      <c r="I1618" s="147">
        <v>80</v>
      </c>
      <c r="J1618" s="147">
        <f t="shared" si="1242"/>
        <v>80</v>
      </c>
      <c r="K1618" s="182">
        <v>356</v>
      </c>
      <c r="L1618" s="229">
        <v>500</v>
      </c>
      <c r="M1618" s="335">
        <f t="shared" si="1238"/>
        <v>5.25</v>
      </c>
      <c r="N1618" s="329">
        <f t="shared" si="1231"/>
        <v>420</v>
      </c>
    </row>
    <row r="1619" spans="1:14" s="8" customFormat="1" ht="14.1" customHeight="1">
      <c r="A1619" s="176"/>
      <c r="B1619" s="177"/>
      <c r="C1619" s="146" t="s">
        <v>243</v>
      </c>
      <c r="D1619" s="151">
        <v>100</v>
      </c>
      <c r="E1619" s="147">
        <v>100</v>
      </c>
      <c r="F1619" s="229"/>
      <c r="G1619" s="147"/>
      <c r="H1619" s="147">
        <f t="shared" si="1241"/>
        <v>0</v>
      </c>
      <c r="I1619" s="147"/>
      <c r="J1619" s="147">
        <f t="shared" si="1242"/>
        <v>0</v>
      </c>
      <c r="K1619" s="182">
        <v>0</v>
      </c>
      <c r="L1619" s="229">
        <v>0</v>
      </c>
      <c r="M1619" s="335" t="e">
        <f t="shared" si="1238"/>
        <v>#DIV/0!</v>
      </c>
      <c r="N1619" s="329">
        <f t="shared" si="1231"/>
        <v>0</v>
      </c>
    </row>
    <row r="1620" spans="1:14" s="8" customFormat="1" ht="14.1" customHeight="1">
      <c r="A1620" s="176"/>
      <c r="B1620" s="177"/>
      <c r="C1620" s="146" t="s">
        <v>487</v>
      </c>
      <c r="D1620" s="151">
        <v>3000</v>
      </c>
      <c r="E1620" s="147">
        <v>7000</v>
      </c>
      <c r="F1620" s="229">
        <v>700</v>
      </c>
      <c r="G1620" s="147"/>
      <c r="H1620" s="147">
        <f t="shared" si="1241"/>
        <v>700</v>
      </c>
      <c r="I1620" s="147">
        <v>2000</v>
      </c>
      <c r="J1620" s="147">
        <f t="shared" si="1242"/>
        <v>2700</v>
      </c>
      <c r="K1620" s="182">
        <v>3019</v>
      </c>
      <c r="L1620" s="229">
        <v>300</v>
      </c>
      <c r="M1620" s="335">
        <f t="shared" si="1238"/>
        <v>-0.88888888888888884</v>
      </c>
      <c r="N1620" s="329">
        <f t="shared" si="1231"/>
        <v>-2400</v>
      </c>
    </row>
    <row r="1621" spans="1:14" s="8" customFormat="1" ht="14.1" customHeight="1">
      <c r="A1621" s="176"/>
      <c r="B1621" s="177"/>
      <c r="C1621" s="146" t="s">
        <v>777</v>
      </c>
      <c r="D1621" s="151"/>
      <c r="E1621" s="147">
        <v>0</v>
      </c>
      <c r="F1621" s="229">
        <v>339</v>
      </c>
      <c r="G1621" s="147"/>
      <c r="H1621" s="147">
        <f t="shared" si="1241"/>
        <v>339</v>
      </c>
      <c r="I1621" s="147">
        <v>-146</v>
      </c>
      <c r="J1621" s="147">
        <f t="shared" si="1242"/>
        <v>193</v>
      </c>
      <c r="K1621" s="292">
        <v>193</v>
      </c>
      <c r="L1621" s="229">
        <v>200</v>
      </c>
      <c r="M1621" s="335">
        <f t="shared" si="1238"/>
        <v>3.6269430051813469E-2</v>
      </c>
      <c r="N1621" s="329">
        <f t="shared" si="1231"/>
        <v>7</v>
      </c>
    </row>
    <row r="1622" spans="1:14" s="8" customFormat="1" ht="14.1" customHeight="1">
      <c r="A1622" s="176"/>
      <c r="B1622" s="177"/>
      <c r="C1622" s="146" t="s">
        <v>778</v>
      </c>
      <c r="D1622" s="151">
        <v>0</v>
      </c>
      <c r="E1622" s="147">
        <v>14534</v>
      </c>
      <c r="F1622" s="229">
        <v>16460</v>
      </c>
      <c r="G1622" s="147"/>
      <c r="H1622" s="147">
        <f t="shared" si="1241"/>
        <v>16460</v>
      </c>
      <c r="I1622" s="147">
        <v>-1000</v>
      </c>
      <c r="J1622" s="147">
        <f t="shared" si="1242"/>
        <v>15460</v>
      </c>
      <c r="K1622" s="182">
        <v>10834</v>
      </c>
      <c r="L1622" s="229">
        <v>16000</v>
      </c>
      <c r="M1622" s="335">
        <f t="shared" si="1238"/>
        <v>3.4928848641655887E-2</v>
      </c>
      <c r="N1622" s="329">
        <f t="shared" si="1231"/>
        <v>540</v>
      </c>
    </row>
    <row r="1623" spans="1:14" s="8" customFormat="1" ht="14.1" customHeight="1">
      <c r="A1623" s="176"/>
      <c r="B1623" s="177"/>
      <c r="C1623" s="146" t="s">
        <v>779</v>
      </c>
      <c r="D1623" s="151">
        <v>0</v>
      </c>
      <c r="E1623" s="147">
        <v>0</v>
      </c>
      <c r="F1623" s="229">
        <v>0</v>
      </c>
      <c r="G1623" s="147"/>
      <c r="H1623" s="147">
        <f t="shared" si="1241"/>
        <v>0</v>
      </c>
      <c r="I1623" s="147"/>
      <c r="J1623" s="147">
        <f t="shared" si="1242"/>
        <v>0</v>
      </c>
      <c r="K1623" s="182"/>
      <c r="L1623" s="229">
        <v>0</v>
      </c>
      <c r="M1623" s="335" t="e">
        <f t="shared" si="1238"/>
        <v>#DIV/0!</v>
      </c>
      <c r="N1623" s="329">
        <f t="shared" si="1231"/>
        <v>0</v>
      </c>
    </row>
    <row r="1624" spans="1:14" ht="14.1" customHeight="1">
      <c r="A1624" s="32"/>
      <c r="B1624" s="33">
        <v>5513</v>
      </c>
      <c r="C1624" s="40" t="s">
        <v>671</v>
      </c>
      <c r="D1624" s="52">
        <v>0</v>
      </c>
      <c r="E1624" s="17">
        <v>5000</v>
      </c>
      <c r="F1624" s="226">
        <v>4050</v>
      </c>
      <c r="G1624" s="17">
        <v>-950</v>
      </c>
      <c r="H1624" s="17">
        <f t="shared" si="1241"/>
        <v>3100</v>
      </c>
      <c r="I1624" s="17">
        <v>2000</v>
      </c>
      <c r="J1624" s="17">
        <f t="shared" si="1242"/>
        <v>5100</v>
      </c>
      <c r="K1624" s="17">
        <v>3870</v>
      </c>
      <c r="L1624" s="226">
        <v>2000</v>
      </c>
      <c r="M1624" s="335">
        <f t="shared" si="1238"/>
        <v>-0.60784313725490191</v>
      </c>
      <c r="N1624" s="329">
        <f t="shared" si="1231"/>
        <v>-3100</v>
      </c>
    </row>
    <row r="1625" spans="1:14" ht="14.1" customHeight="1">
      <c r="A1625" s="32"/>
      <c r="B1625" s="33">
        <v>5514</v>
      </c>
      <c r="C1625" s="34" t="s">
        <v>221</v>
      </c>
      <c r="D1625" s="52">
        <v>0</v>
      </c>
      <c r="E1625" s="17">
        <v>0</v>
      </c>
      <c r="F1625" s="226">
        <v>100</v>
      </c>
      <c r="G1625" s="17"/>
      <c r="H1625" s="17">
        <f t="shared" si="1241"/>
        <v>100</v>
      </c>
      <c r="I1625" s="17">
        <v>700</v>
      </c>
      <c r="J1625" s="17">
        <f t="shared" si="1242"/>
        <v>800</v>
      </c>
      <c r="K1625" s="17">
        <v>606</v>
      </c>
      <c r="L1625" s="226">
        <v>800</v>
      </c>
      <c r="M1625" s="335">
        <f t="shared" si="1238"/>
        <v>0</v>
      </c>
      <c r="N1625" s="329">
        <f t="shared" si="1231"/>
        <v>0</v>
      </c>
    </row>
    <row r="1626" spans="1:14" ht="14.1" customHeight="1">
      <c r="A1626" s="32"/>
      <c r="B1626" s="33">
        <v>5515</v>
      </c>
      <c r="C1626" s="34" t="s">
        <v>257</v>
      </c>
      <c r="D1626" s="52">
        <v>0</v>
      </c>
      <c r="E1626" s="17">
        <v>1000</v>
      </c>
      <c r="F1626" s="226">
        <v>500</v>
      </c>
      <c r="G1626" s="17"/>
      <c r="H1626" s="17">
        <f t="shared" si="1241"/>
        <v>500</v>
      </c>
      <c r="I1626" s="17">
        <v>100</v>
      </c>
      <c r="J1626" s="17">
        <f t="shared" si="1242"/>
        <v>600</v>
      </c>
      <c r="K1626" s="17">
        <v>418</v>
      </c>
      <c r="L1626" s="226">
        <v>500</v>
      </c>
      <c r="M1626" s="335">
        <f t="shared" si="1238"/>
        <v>-0.16666666666666666</v>
      </c>
      <c r="N1626" s="329">
        <f t="shared" si="1231"/>
        <v>-100</v>
      </c>
    </row>
    <row r="1627" spans="1:14" ht="14.1" customHeight="1">
      <c r="A1627" s="32"/>
      <c r="B1627" s="33">
        <v>5522</v>
      </c>
      <c r="C1627" s="34" t="s">
        <v>262</v>
      </c>
      <c r="D1627" s="52">
        <v>0</v>
      </c>
      <c r="E1627" s="17">
        <v>250</v>
      </c>
      <c r="F1627" s="226">
        <v>200</v>
      </c>
      <c r="G1627" s="17">
        <v>100</v>
      </c>
      <c r="H1627" s="17">
        <f t="shared" si="1241"/>
        <v>300</v>
      </c>
      <c r="I1627" s="17"/>
      <c r="J1627" s="17">
        <f t="shared" si="1242"/>
        <v>300</v>
      </c>
      <c r="K1627" s="17">
        <v>2.52</v>
      </c>
      <c r="L1627" s="226">
        <v>300</v>
      </c>
      <c r="M1627" s="335">
        <f t="shared" si="1238"/>
        <v>0</v>
      </c>
      <c r="N1627" s="329">
        <f t="shared" si="1231"/>
        <v>0</v>
      </c>
    </row>
    <row r="1628" spans="1:14" ht="14.1" customHeight="1">
      <c r="A1628" s="32"/>
      <c r="B1628" s="33">
        <v>5524</v>
      </c>
      <c r="C1628" s="34" t="s">
        <v>621</v>
      </c>
      <c r="D1628" s="52">
        <v>0</v>
      </c>
      <c r="E1628" s="17">
        <v>0</v>
      </c>
      <c r="F1628" s="226">
        <v>0</v>
      </c>
      <c r="G1628" s="17"/>
      <c r="H1628" s="17">
        <f t="shared" si="1241"/>
        <v>0</v>
      </c>
      <c r="I1628" s="17"/>
      <c r="J1628" s="17">
        <f t="shared" si="1242"/>
        <v>0</v>
      </c>
      <c r="K1628" s="17"/>
      <c r="L1628" s="226">
        <v>0</v>
      </c>
      <c r="M1628" s="335" t="e">
        <f t="shared" si="1238"/>
        <v>#DIV/0!</v>
      </c>
      <c r="N1628" s="329">
        <f t="shared" si="1231"/>
        <v>0</v>
      </c>
    </row>
    <row r="1629" spans="1:14" ht="14.1" customHeight="1">
      <c r="A1629" s="32"/>
      <c r="B1629" s="33">
        <v>5525</v>
      </c>
      <c r="C1629" s="40" t="s">
        <v>264</v>
      </c>
      <c r="D1629" s="52">
        <v>500</v>
      </c>
      <c r="E1629" s="17">
        <v>500</v>
      </c>
      <c r="F1629" s="226">
        <v>500</v>
      </c>
      <c r="G1629" s="17"/>
      <c r="H1629" s="17">
        <f t="shared" si="1241"/>
        <v>500</v>
      </c>
      <c r="I1629" s="17"/>
      <c r="J1629" s="17">
        <f t="shared" si="1242"/>
        <v>500</v>
      </c>
      <c r="K1629" s="17"/>
      <c r="L1629" s="226">
        <v>0</v>
      </c>
      <c r="M1629" s="335">
        <f t="shared" si="1238"/>
        <v>-1</v>
      </c>
      <c r="N1629" s="329">
        <f t="shared" si="1231"/>
        <v>-500</v>
      </c>
    </row>
    <row r="1630" spans="1:14" ht="14.1" customHeight="1">
      <c r="A1630" s="32"/>
      <c r="B1630" s="33">
        <v>5526</v>
      </c>
      <c r="C1630" s="40" t="s">
        <v>780</v>
      </c>
      <c r="D1630" s="52">
        <v>2000</v>
      </c>
      <c r="E1630" s="17">
        <v>1250</v>
      </c>
      <c r="F1630" s="226">
        <v>200</v>
      </c>
      <c r="G1630" s="17">
        <v>500</v>
      </c>
      <c r="H1630" s="17">
        <f t="shared" si="1241"/>
        <v>700</v>
      </c>
      <c r="I1630" s="17"/>
      <c r="J1630" s="17">
        <f t="shared" si="1242"/>
        <v>700</v>
      </c>
      <c r="K1630" s="17">
        <v>399</v>
      </c>
      <c r="L1630" s="226">
        <v>1000</v>
      </c>
      <c r="M1630" s="335">
        <f t="shared" si="1238"/>
        <v>0.42857142857142855</v>
      </c>
      <c r="N1630" s="329">
        <f t="shared" si="1231"/>
        <v>300</v>
      </c>
    </row>
    <row r="1631" spans="1:14" ht="14.1" customHeight="1">
      <c r="A1631" s="32"/>
      <c r="B1631" s="33">
        <v>5540</v>
      </c>
      <c r="C1631" s="34" t="s">
        <v>348</v>
      </c>
      <c r="D1631" s="52">
        <v>500</v>
      </c>
      <c r="E1631" s="17">
        <v>0</v>
      </c>
      <c r="F1631" s="226">
        <v>0</v>
      </c>
      <c r="G1631" s="17"/>
      <c r="H1631" s="17">
        <f t="shared" si="1241"/>
        <v>0</v>
      </c>
      <c r="I1631" s="17"/>
      <c r="J1631" s="17">
        <f t="shared" si="1242"/>
        <v>0</v>
      </c>
      <c r="K1631" s="17"/>
      <c r="L1631" s="226">
        <v>0</v>
      </c>
      <c r="M1631" s="335" t="e">
        <f t="shared" si="1238"/>
        <v>#DIV/0!</v>
      </c>
      <c r="N1631" s="329">
        <f t="shared" si="1231"/>
        <v>0</v>
      </c>
    </row>
    <row r="1632" spans="1:14" ht="14.1" customHeight="1">
      <c r="A1632" s="45" t="s">
        <v>781</v>
      </c>
      <c r="B1632" s="46"/>
      <c r="C1632" s="47" t="s">
        <v>782</v>
      </c>
      <c r="D1632" s="53">
        <v>204000</v>
      </c>
      <c r="E1632" s="54">
        <v>240000</v>
      </c>
      <c r="F1632" s="54">
        <f t="shared" ref="F1632:I1632" si="1243">+F1634</f>
        <v>220000</v>
      </c>
      <c r="G1632" s="54">
        <f t="shared" si="1243"/>
        <v>0</v>
      </c>
      <c r="H1632" s="54">
        <f t="shared" si="1243"/>
        <v>220000</v>
      </c>
      <c r="I1632" s="54">
        <f t="shared" si="1243"/>
        <v>-40000</v>
      </c>
      <c r="J1632" s="54">
        <f>J1633+J1634</f>
        <v>180000</v>
      </c>
      <c r="K1632" s="54">
        <f t="shared" ref="K1632:L1632" si="1244">K1633+K1634</f>
        <v>148209</v>
      </c>
      <c r="L1632" s="54">
        <f t="shared" si="1244"/>
        <v>60000</v>
      </c>
      <c r="M1632" s="335">
        <f t="shared" si="1238"/>
        <v>-0.66666666666666663</v>
      </c>
      <c r="N1632" s="329">
        <f t="shared" si="1231"/>
        <v>-120000</v>
      </c>
    </row>
    <row r="1633" spans="1:14" ht="14.1" customHeight="1">
      <c r="A1633" s="32" t="s">
        <v>783</v>
      </c>
      <c r="B1633" s="33">
        <v>4138</v>
      </c>
      <c r="C1633" s="34" t="s">
        <v>784</v>
      </c>
      <c r="D1633" s="52"/>
      <c r="E1633" s="140"/>
      <c r="F1633" s="140"/>
      <c r="G1633" s="140"/>
      <c r="H1633" s="140">
        <f>SUM(H1634:H1637)</f>
        <v>220000</v>
      </c>
      <c r="I1633" s="140">
        <f t="shared" ref="I1633" si="1245">SUM(I1634:I1637)</f>
        <v>-40000</v>
      </c>
      <c r="J1633" s="140"/>
      <c r="K1633" s="140">
        <v>13355</v>
      </c>
      <c r="L1633" s="140">
        <v>60000</v>
      </c>
      <c r="M1633" s="335" t="e">
        <f t="shared" si="1238"/>
        <v>#DIV/0!</v>
      </c>
      <c r="N1633" s="329">
        <f t="shared" si="1231"/>
        <v>60000</v>
      </c>
    </row>
    <row r="1634" spans="1:14" ht="12.6">
      <c r="A1634" s="32" t="s">
        <v>785</v>
      </c>
      <c r="B1634" s="33">
        <v>5526</v>
      </c>
      <c r="C1634" s="34" t="s">
        <v>786</v>
      </c>
      <c r="D1634" s="52">
        <v>204000</v>
      </c>
      <c r="E1634" s="137">
        <v>240000</v>
      </c>
      <c r="F1634" s="137">
        <v>220000</v>
      </c>
      <c r="G1634" s="137"/>
      <c r="H1634" s="137">
        <f>+F1634+G1634</f>
        <v>220000</v>
      </c>
      <c r="I1634" s="137">
        <v>-40000</v>
      </c>
      <c r="J1634" s="137">
        <f>+H1634+I1634</f>
        <v>180000</v>
      </c>
      <c r="K1634" s="137">
        <v>134854</v>
      </c>
      <c r="L1634" s="137">
        <v>0</v>
      </c>
      <c r="M1634" s="335">
        <f t="shared" si="1238"/>
        <v>-1</v>
      </c>
      <c r="N1634" s="329">
        <f t="shared" si="1231"/>
        <v>-180000</v>
      </c>
    </row>
    <row r="1635" spans="1:14" ht="12.6" hidden="1">
      <c r="A1635" s="45">
        <v>102001</v>
      </c>
      <c r="B1635" s="46"/>
      <c r="C1635" s="47" t="s">
        <v>787</v>
      </c>
      <c r="D1635" s="53">
        <v>0</v>
      </c>
      <c r="E1635" s="232">
        <v>0</v>
      </c>
      <c r="G1635" s="132">
        <f t="shared" ref="G1635:H1635" si="1246">+G1636+G1637</f>
        <v>0</v>
      </c>
      <c r="H1635" s="132">
        <f t="shared" si="1246"/>
        <v>0</v>
      </c>
      <c r="I1635" s="132">
        <f t="shared" ref="I1635:J1635" si="1247">+I1636+I1637</f>
        <v>0</v>
      </c>
      <c r="J1635" s="132">
        <f t="shared" si="1247"/>
        <v>0</v>
      </c>
      <c r="K1635" s="232"/>
      <c r="M1635" s="335" t="e">
        <f t="shared" si="1238"/>
        <v>#DIV/0!</v>
      </c>
      <c r="N1635" s="329">
        <f t="shared" si="1231"/>
        <v>0</v>
      </c>
    </row>
    <row r="1636" spans="1:14" ht="12.6" hidden="1">
      <c r="A1636" s="32"/>
      <c r="B1636" s="38">
        <v>50</v>
      </c>
      <c r="C1636" s="39" t="s">
        <v>211</v>
      </c>
      <c r="D1636" s="52"/>
      <c r="E1636" s="233">
        <v>0</v>
      </c>
      <c r="G1636" s="143">
        <f t="shared" ref="G1636:J1637" si="1248">+E1636+F1636</f>
        <v>0</v>
      </c>
      <c r="H1636" s="143">
        <f t="shared" si="1248"/>
        <v>0</v>
      </c>
      <c r="I1636" s="143">
        <f t="shared" si="1248"/>
        <v>0</v>
      </c>
      <c r="J1636" s="143">
        <f t="shared" si="1248"/>
        <v>0</v>
      </c>
      <c r="K1636" s="233"/>
      <c r="M1636" s="335" t="e">
        <f t="shared" si="1238"/>
        <v>#DIV/0!</v>
      </c>
      <c r="N1636" s="329">
        <f t="shared" si="1231"/>
        <v>0</v>
      </c>
    </row>
    <row r="1637" spans="1:14" ht="12.6" hidden="1">
      <c r="A1637" s="32"/>
      <c r="B1637" s="38">
        <v>55</v>
      </c>
      <c r="C1637" s="39" t="s">
        <v>682</v>
      </c>
      <c r="D1637" s="52"/>
      <c r="E1637" s="231">
        <v>0</v>
      </c>
      <c r="G1637" s="137">
        <f t="shared" si="1248"/>
        <v>0</v>
      </c>
      <c r="H1637" s="137">
        <f t="shared" si="1248"/>
        <v>0</v>
      </c>
      <c r="I1637" s="137">
        <f t="shared" si="1248"/>
        <v>0</v>
      </c>
      <c r="J1637" s="137">
        <f t="shared" si="1248"/>
        <v>0</v>
      </c>
      <c r="K1637" s="231"/>
      <c r="M1637" s="335" t="e">
        <f t="shared" si="1238"/>
        <v>#DIV/0!</v>
      </c>
      <c r="N1637" s="329">
        <f t="shared" si="1231"/>
        <v>0</v>
      </c>
    </row>
    <row r="1638" spans="1:14" ht="12.6" hidden="1">
      <c r="A1638" s="32"/>
      <c r="B1638" s="297"/>
      <c r="C1638" s="39"/>
      <c r="D1638" s="52"/>
      <c r="E1638" s="231"/>
      <c r="G1638" s="138"/>
      <c r="H1638" s="138"/>
      <c r="I1638" s="138"/>
      <c r="J1638" s="138"/>
      <c r="K1638" s="137"/>
      <c r="L1638" s="221"/>
      <c r="M1638" s="335" t="e">
        <f t="shared" si="1238"/>
        <v>#DIV/0!</v>
      </c>
      <c r="N1638" s="329">
        <f t="shared" si="1231"/>
        <v>0</v>
      </c>
    </row>
    <row r="1639" spans="1:14" ht="12.6" hidden="1">
      <c r="A1639" s="32"/>
      <c r="B1639" s="297"/>
      <c r="C1639" s="39"/>
      <c r="D1639" s="52"/>
      <c r="E1639" s="231"/>
      <c r="G1639" s="138"/>
      <c r="H1639" s="138"/>
      <c r="I1639" s="138"/>
      <c r="J1639" s="138"/>
      <c r="K1639" s="137"/>
      <c r="L1639" s="221"/>
      <c r="M1639" s="335" t="e">
        <f t="shared" si="1238"/>
        <v>#DIV/0!</v>
      </c>
      <c r="N1639" s="329">
        <f t="shared" si="1231"/>
        <v>0</v>
      </c>
    </row>
    <row r="1640" spans="1:14" ht="12.6" hidden="1">
      <c r="A1640" s="32"/>
      <c r="B1640" s="297"/>
      <c r="C1640" s="39"/>
      <c r="D1640" s="52"/>
      <c r="E1640" s="231"/>
      <c r="G1640" s="138"/>
      <c r="H1640" s="138"/>
      <c r="I1640" s="138"/>
      <c r="J1640" s="138"/>
      <c r="K1640" s="137"/>
      <c r="L1640" s="221"/>
      <c r="M1640" s="335" t="e">
        <f t="shared" si="1238"/>
        <v>#DIV/0!</v>
      </c>
      <c r="N1640" s="329">
        <f t="shared" si="1231"/>
        <v>0</v>
      </c>
    </row>
    <row r="1641" spans="1:14" ht="12.6" hidden="1">
      <c r="A1641" s="32"/>
      <c r="B1641" s="297"/>
      <c r="C1641" s="39"/>
      <c r="D1641" s="52"/>
      <c r="E1641" s="231"/>
      <c r="G1641" s="138"/>
      <c r="H1641" s="138"/>
      <c r="I1641" s="138"/>
      <c r="J1641" s="138"/>
      <c r="K1641" s="137"/>
      <c r="L1641" s="221"/>
      <c r="M1641" s="335" t="e">
        <f t="shared" si="1238"/>
        <v>#DIV/0!</v>
      </c>
      <c r="N1641" s="329">
        <f t="shared" si="1231"/>
        <v>0</v>
      </c>
    </row>
    <row r="1642" spans="1:14" ht="12.6">
      <c r="A1642" s="45" t="s">
        <v>788</v>
      </c>
      <c r="B1642" s="46" t="s">
        <v>789</v>
      </c>
      <c r="C1642" s="47" t="s">
        <v>790</v>
      </c>
      <c r="D1642" s="53"/>
      <c r="E1642" s="54"/>
      <c r="F1642" s="54">
        <f t="shared" ref="F1642:L1642" si="1249">+F1643</f>
        <v>0</v>
      </c>
      <c r="G1642" s="54">
        <f t="shared" si="1249"/>
        <v>461000</v>
      </c>
      <c r="H1642" s="54">
        <f t="shared" si="1249"/>
        <v>0</v>
      </c>
      <c r="I1642" s="54">
        <f t="shared" si="1249"/>
        <v>0</v>
      </c>
      <c r="J1642" s="54">
        <f t="shared" si="1249"/>
        <v>0</v>
      </c>
      <c r="K1642" s="54">
        <f t="shared" si="1249"/>
        <v>134190</v>
      </c>
      <c r="L1642" s="54">
        <f t="shared" si="1249"/>
        <v>740000</v>
      </c>
      <c r="M1642" s="335" t="e">
        <f t="shared" si="1238"/>
        <v>#DIV/0!</v>
      </c>
      <c r="N1642" s="329">
        <f t="shared" si="1231"/>
        <v>740000</v>
      </c>
    </row>
    <row r="1643" spans="1:14" ht="12.6">
      <c r="A1643" s="32" t="s">
        <v>783</v>
      </c>
      <c r="B1643" s="33">
        <v>4138</v>
      </c>
      <c r="C1643" s="34" t="s">
        <v>784</v>
      </c>
      <c r="D1643" s="52"/>
      <c r="E1643" s="140"/>
      <c r="F1643" s="140"/>
      <c r="G1643" s="140">
        <f t="shared" ref="G1643" si="1250">SUM(G1644:G1647)</f>
        <v>461000</v>
      </c>
      <c r="H1643" s="140">
        <f>SUM(H1644:H1645)</f>
        <v>0</v>
      </c>
      <c r="I1643" s="140">
        <f t="shared" ref="I1643:J1643" si="1251">SUM(I1644:I1645)</f>
        <v>0</v>
      </c>
      <c r="J1643" s="140">
        <f t="shared" si="1251"/>
        <v>0</v>
      </c>
      <c r="K1643" s="140">
        <v>134190</v>
      </c>
      <c r="L1643" s="140">
        <v>740000</v>
      </c>
      <c r="M1643" s="335" t="e">
        <f t="shared" si="1238"/>
        <v>#DIV/0!</v>
      </c>
      <c r="N1643" s="329">
        <f t="shared" si="1231"/>
        <v>740000</v>
      </c>
    </row>
    <row r="1644" spans="1:14" ht="12.6" hidden="1">
      <c r="A1644" s="32"/>
      <c r="B1644" s="297"/>
      <c r="C1644" s="39"/>
      <c r="D1644" s="52"/>
      <c r="E1644" s="231"/>
      <c r="G1644" s="138"/>
      <c r="H1644" s="138"/>
      <c r="I1644" s="138"/>
      <c r="J1644" s="138"/>
      <c r="K1644" s="137"/>
      <c r="L1644" s="221"/>
      <c r="M1644" s="335" t="e">
        <f t="shared" si="1238"/>
        <v>#DIV/0!</v>
      </c>
      <c r="N1644" s="329">
        <f t="shared" si="1231"/>
        <v>0</v>
      </c>
    </row>
    <row r="1645" spans="1:14" ht="12.6" hidden="1">
      <c r="A1645" s="32"/>
      <c r="B1645" s="297"/>
      <c r="C1645" s="39"/>
      <c r="D1645" s="52"/>
      <c r="E1645" s="231"/>
      <c r="G1645" s="138"/>
      <c r="H1645" s="138"/>
      <c r="I1645" s="138"/>
      <c r="J1645" s="138"/>
      <c r="K1645" s="137"/>
      <c r="L1645" s="221"/>
      <c r="M1645" s="335" t="e">
        <f t="shared" si="1238"/>
        <v>#DIV/0!</v>
      </c>
      <c r="N1645" s="329">
        <f t="shared" si="1231"/>
        <v>0</v>
      </c>
    </row>
    <row r="1646" spans="1:14" ht="12.6">
      <c r="A1646" s="45" t="s">
        <v>791</v>
      </c>
      <c r="C1646" s="47" t="s">
        <v>792</v>
      </c>
      <c r="D1646" s="53">
        <v>15000</v>
      </c>
      <c r="E1646" s="50">
        <v>22000</v>
      </c>
      <c r="F1646" s="50">
        <f>F1647+F1652+F1653</f>
        <v>43000</v>
      </c>
      <c r="G1646" s="50">
        <f t="shared" ref="G1646:H1646" si="1252">G1647+G1652+G1653</f>
        <v>230500</v>
      </c>
      <c r="H1646" s="50">
        <f t="shared" si="1252"/>
        <v>273500</v>
      </c>
      <c r="I1646" s="50">
        <f t="shared" ref="I1646:J1646" si="1253">I1647+I1652+I1653</f>
        <v>0</v>
      </c>
      <c r="J1646" s="50">
        <f t="shared" si="1253"/>
        <v>273500</v>
      </c>
      <c r="K1646" s="50">
        <f t="shared" ref="K1646" si="1254">K1647+K1652+K1653</f>
        <v>12100.62</v>
      </c>
      <c r="L1646" s="50">
        <f>L1647+L1652+L1653</f>
        <v>48000</v>
      </c>
      <c r="M1646" s="335">
        <f t="shared" si="1238"/>
        <v>-0.82449725776965266</v>
      </c>
      <c r="N1646" s="329">
        <f t="shared" si="1231"/>
        <v>-225500</v>
      </c>
    </row>
    <row r="1647" spans="1:14" ht="14.1" customHeight="1">
      <c r="A1647" s="32" t="s">
        <v>783</v>
      </c>
      <c r="B1647" s="33">
        <v>4138</v>
      </c>
      <c r="C1647" s="34" t="s">
        <v>784</v>
      </c>
      <c r="D1647" s="52">
        <v>5000</v>
      </c>
      <c r="E1647" s="140">
        <v>7000</v>
      </c>
      <c r="F1647" s="140">
        <f>SUM(F1648:F1651)</f>
        <v>29000</v>
      </c>
      <c r="G1647" s="140">
        <f t="shared" ref="G1647:I1647" si="1255">SUM(G1648:G1651)</f>
        <v>230500</v>
      </c>
      <c r="H1647" s="140">
        <f>SUM(H1648:H1651)</f>
        <v>259500</v>
      </c>
      <c r="I1647" s="140">
        <f t="shared" si="1255"/>
        <v>0</v>
      </c>
      <c r="J1647" s="140">
        <f>SUM(J1648:J1651)</f>
        <v>259500</v>
      </c>
      <c r="K1647" s="140">
        <f>SUM(K1648:K1651)</f>
        <v>11951.62</v>
      </c>
      <c r="L1647" s="140">
        <f>SUM(L1648:L1651)</f>
        <v>34000</v>
      </c>
      <c r="M1647" s="335">
        <f t="shared" si="1238"/>
        <v>-0.86897880539499039</v>
      </c>
      <c r="N1647" s="329">
        <f t="shared" si="1231"/>
        <v>-225500</v>
      </c>
    </row>
    <row r="1648" spans="1:14" ht="14.1" customHeight="1">
      <c r="A1648" s="32"/>
      <c r="B1648" s="33"/>
      <c r="C1648" s="157" t="s">
        <v>793</v>
      </c>
      <c r="D1648" s="52"/>
      <c r="E1648" s="184">
        <v>5000</v>
      </c>
      <c r="F1648" s="227">
        <v>22000</v>
      </c>
      <c r="G1648" s="182"/>
      <c r="H1648" s="182">
        <f t="shared" ref="H1648:H1651" si="1256">F1648+G1648</f>
        <v>22000</v>
      </c>
      <c r="I1648" s="182"/>
      <c r="J1648" s="182">
        <f t="shared" ref="J1648:J1651" si="1257">H1648+I1648</f>
        <v>22000</v>
      </c>
      <c r="K1648" s="182">
        <v>10500</v>
      </c>
      <c r="L1648" s="227">
        <v>25000</v>
      </c>
      <c r="M1648" s="335">
        <f t="shared" si="1238"/>
        <v>0.13636363636363635</v>
      </c>
      <c r="N1648" s="329">
        <f t="shared" si="1231"/>
        <v>3000</v>
      </c>
    </row>
    <row r="1649" spans="1:14" ht="14.1" customHeight="1">
      <c r="A1649" s="32"/>
      <c r="B1649" s="33"/>
      <c r="C1649" s="157" t="s">
        <v>794</v>
      </c>
      <c r="D1649" s="52">
        <v>5000</v>
      </c>
      <c r="E1649" s="184">
        <v>5000</v>
      </c>
      <c r="F1649" s="227">
        <v>3000</v>
      </c>
      <c r="G1649" s="182"/>
      <c r="H1649" s="182">
        <f t="shared" si="1256"/>
        <v>3000</v>
      </c>
      <c r="I1649" s="182"/>
      <c r="J1649" s="182">
        <f t="shared" si="1257"/>
        <v>3000</v>
      </c>
      <c r="K1649" s="182">
        <v>293.62</v>
      </c>
      <c r="L1649" s="227">
        <v>3000</v>
      </c>
      <c r="M1649" s="335">
        <f t="shared" si="1238"/>
        <v>0</v>
      </c>
      <c r="N1649" s="329">
        <f t="shared" si="1231"/>
        <v>0</v>
      </c>
    </row>
    <row r="1650" spans="1:14" ht="14.1" customHeight="1">
      <c r="A1650" s="32"/>
      <c r="B1650" s="250" t="s">
        <v>675</v>
      </c>
      <c r="C1650" s="254" t="s">
        <v>795</v>
      </c>
      <c r="D1650" s="52">
        <v>5000</v>
      </c>
      <c r="E1650" s="184">
        <v>5000</v>
      </c>
      <c r="F1650" s="227">
        <v>3000</v>
      </c>
      <c r="G1650" s="182">
        <f>233500-3000</f>
        <v>230500</v>
      </c>
      <c r="H1650" s="253">
        <f t="shared" si="1256"/>
        <v>233500</v>
      </c>
      <c r="I1650" s="182"/>
      <c r="J1650" s="253">
        <f t="shared" si="1257"/>
        <v>233500</v>
      </c>
      <c r="K1650" s="182">
        <v>831</v>
      </c>
      <c r="L1650" s="227">
        <v>5000</v>
      </c>
      <c r="M1650" s="335">
        <f t="shared" si="1238"/>
        <v>-0.97858672376873657</v>
      </c>
      <c r="N1650" s="329">
        <f t="shared" si="1231"/>
        <v>-228500</v>
      </c>
    </row>
    <row r="1651" spans="1:14" ht="14.1" customHeight="1">
      <c r="A1651" s="32"/>
      <c r="B1651" s="33"/>
      <c r="C1651" s="157" t="s">
        <v>796</v>
      </c>
      <c r="D1651" s="52"/>
      <c r="E1651" s="184"/>
      <c r="F1651" s="227">
        <v>1000</v>
      </c>
      <c r="G1651" s="182"/>
      <c r="H1651" s="182">
        <f t="shared" si="1256"/>
        <v>1000</v>
      </c>
      <c r="I1651" s="182"/>
      <c r="J1651" s="182">
        <f t="shared" si="1257"/>
        <v>1000</v>
      </c>
      <c r="K1651" s="182">
        <v>327</v>
      </c>
      <c r="L1651" s="227">
        <v>1000</v>
      </c>
      <c r="M1651" s="335">
        <f t="shared" si="1238"/>
        <v>0</v>
      </c>
      <c r="N1651" s="329">
        <f t="shared" si="1231"/>
        <v>0</v>
      </c>
    </row>
    <row r="1652" spans="1:14" ht="14.1" customHeight="1">
      <c r="A1652" s="32"/>
      <c r="B1652" s="38">
        <v>50</v>
      </c>
      <c r="C1652" s="39" t="s">
        <v>211</v>
      </c>
      <c r="D1652" s="52"/>
      <c r="E1652" s="213"/>
      <c r="F1652" s="226">
        <v>0</v>
      </c>
      <c r="G1652" s="213"/>
      <c r="H1652" s="213"/>
      <c r="I1652" s="213"/>
      <c r="J1652" s="213"/>
      <c r="K1652" s="271"/>
      <c r="L1652" s="296">
        <v>0</v>
      </c>
      <c r="M1652" s="335" t="e">
        <f t="shared" si="1238"/>
        <v>#DIV/0!</v>
      </c>
      <c r="N1652" s="329">
        <f t="shared" si="1231"/>
        <v>0</v>
      </c>
    </row>
    <row r="1653" spans="1:14" ht="14.1" customHeight="1">
      <c r="A1653" s="32"/>
      <c r="B1653" s="38">
        <v>55</v>
      </c>
      <c r="C1653" s="39" t="s">
        <v>213</v>
      </c>
      <c r="D1653" s="52"/>
      <c r="E1653" s="210"/>
      <c r="F1653" s="137">
        <f>F1654</f>
        <v>14000</v>
      </c>
      <c r="G1653" s="137">
        <f t="shared" ref="G1653:K1653" si="1258">G1654</f>
        <v>0</v>
      </c>
      <c r="H1653" s="137">
        <f t="shared" si="1258"/>
        <v>14000</v>
      </c>
      <c r="I1653" s="137">
        <f t="shared" si="1258"/>
        <v>0</v>
      </c>
      <c r="J1653" s="137">
        <f t="shared" si="1258"/>
        <v>14000</v>
      </c>
      <c r="K1653" s="137">
        <f t="shared" si="1258"/>
        <v>149</v>
      </c>
      <c r="L1653" s="137">
        <f>L1654</f>
        <v>14000</v>
      </c>
      <c r="M1653" s="335">
        <f t="shared" si="1238"/>
        <v>0</v>
      </c>
      <c r="N1653" s="329">
        <f t="shared" si="1231"/>
        <v>0</v>
      </c>
    </row>
    <row r="1654" spans="1:14" ht="14.1" customHeight="1">
      <c r="A1654" s="32"/>
      <c r="B1654" s="33">
        <v>5525</v>
      </c>
      <c r="C1654" s="40" t="s">
        <v>264</v>
      </c>
      <c r="D1654" s="52"/>
      <c r="E1654" s="17"/>
      <c r="F1654" s="226">
        <f>11000+3000</f>
        <v>14000</v>
      </c>
      <c r="G1654" s="17"/>
      <c r="H1654" s="17">
        <f t="shared" ref="H1654" si="1259">+G1654+F1654</f>
        <v>14000</v>
      </c>
      <c r="I1654" s="17"/>
      <c r="J1654" s="17">
        <f t="shared" ref="J1654" si="1260">+I1654+H1654</f>
        <v>14000</v>
      </c>
      <c r="K1654" s="17">
        <v>149</v>
      </c>
      <c r="L1654" s="226">
        <v>14000</v>
      </c>
      <c r="M1654" s="335">
        <f t="shared" si="1238"/>
        <v>0</v>
      </c>
      <c r="N1654" s="329">
        <f t="shared" si="1231"/>
        <v>0</v>
      </c>
    </row>
    <row r="1655" spans="1:14" ht="14.1" customHeight="1">
      <c r="A1655" s="45">
        <v>10400</v>
      </c>
      <c r="B1655" s="250" t="s">
        <v>675</v>
      </c>
      <c r="C1655" s="47" t="s">
        <v>797</v>
      </c>
      <c r="D1655" s="53">
        <v>57983</v>
      </c>
      <c r="E1655" s="54">
        <v>53243</v>
      </c>
      <c r="F1655" s="54">
        <f>F1656+F1658</f>
        <v>61793</v>
      </c>
      <c r="G1655" s="54">
        <f t="shared" ref="G1655:H1655" si="1261">+G1658</f>
        <v>-28025</v>
      </c>
      <c r="H1655" s="54">
        <f t="shared" si="1261"/>
        <v>33768</v>
      </c>
      <c r="I1655" s="54">
        <f t="shared" ref="I1655" si="1262">+I1658</f>
        <v>-3768</v>
      </c>
      <c r="J1655" s="54">
        <f>J1656+J1658</f>
        <v>30000</v>
      </c>
      <c r="K1655" s="54">
        <f t="shared" ref="K1655:L1655" si="1263">K1656+K1658</f>
        <v>41032</v>
      </c>
      <c r="L1655" s="54">
        <f t="shared" si="1263"/>
        <v>85200</v>
      </c>
      <c r="M1655" s="335">
        <f t="shared" si="1238"/>
        <v>1.84</v>
      </c>
      <c r="N1655" s="329">
        <f t="shared" si="1231"/>
        <v>55200</v>
      </c>
    </row>
    <row r="1656" spans="1:14" ht="14.1" customHeight="1">
      <c r="A1656" s="37"/>
      <c r="B1656" s="38">
        <v>41</v>
      </c>
      <c r="C1656" s="39" t="s">
        <v>798</v>
      </c>
      <c r="D1656" s="51"/>
      <c r="E1656" s="141"/>
      <c r="F1656" s="141"/>
      <c r="G1656" s="141"/>
      <c r="H1656" s="141"/>
      <c r="I1656" s="141"/>
      <c r="J1656" s="141"/>
      <c r="K1656" s="269"/>
      <c r="L1656" s="141"/>
      <c r="M1656" s="335" t="e">
        <f t="shared" si="1238"/>
        <v>#DIV/0!</v>
      </c>
      <c r="N1656" s="329">
        <f t="shared" si="1231"/>
        <v>0</v>
      </c>
    </row>
    <row r="1657" spans="1:14" ht="14.1" customHeight="1">
      <c r="A1657" s="37"/>
      <c r="B1657" s="186">
        <v>4130</v>
      </c>
      <c r="C1657" s="178" t="s">
        <v>799</v>
      </c>
      <c r="D1657" s="179"/>
      <c r="E1657" s="182"/>
      <c r="F1657" s="227"/>
      <c r="G1657" s="198"/>
      <c r="H1657" s="182"/>
      <c r="I1657" s="198"/>
      <c r="J1657" s="182"/>
      <c r="K1657" s="198"/>
      <c r="L1657" s="227"/>
      <c r="M1657" s="335" t="e">
        <f t="shared" si="1238"/>
        <v>#DIV/0!</v>
      </c>
      <c r="N1657" s="329">
        <f t="shared" si="1231"/>
        <v>0</v>
      </c>
    </row>
    <row r="1658" spans="1:14" s="6" customFormat="1" ht="14.1" customHeight="1">
      <c r="A1658" s="66"/>
      <c r="B1658" s="38">
        <v>55</v>
      </c>
      <c r="C1658" s="39" t="s">
        <v>213</v>
      </c>
      <c r="D1658" s="52">
        <v>57983</v>
      </c>
      <c r="E1658" s="137">
        <v>53243</v>
      </c>
      <c r="F1658" s="137">
        <f t="shared" ref="F1658:L1658" si="1264">F1659</f>
        <v>61793</v>
      </c>
      <c r="G1658" s="137">
        <f t="shared" si="1264"/>
        <v>-28025</v>
      </c>
      <c r="H1658" s="137">
        <f t="shared" si="1264"/>
        <v>33768</v>
      </c>
      <c r="I1658" s="137">
        <f t="shared" si="1264"/>
        <v>-3768</v>
      </c>
      <c r="J1658" s="137">
        <f t="shared" si="1264"/>
        <v>30000</v>
      </c>
      <c r="K1658" s="137">
        <f t="shared" si="1264"/>
        <v>41032</v>
      </c>
      <c r="L1658" s="137">
        <f t="shared" si="1264"/>
        <v>85200</v>
      </c>
      <c r="M1658" s="335">
        <f t="shared" si="1238"/>
        <v>1.84</v>
      </c>
      <c r="N1658" s="329">
        <f t="shared" si="1231"/>
        <v>55200</v>
      </c>
    </row>
    <row r="1659" spans="1:14" s="6" customFormat="1" ht="14.1" customHeight="1">
      <c r="A1659" s="66"/>
      <c r="B1659" s="64">
        <v>5526</v>
      </c>
      <c r="C1659" s="34" t="s">
        <v>800</v>
      </c>
      <c r="D1659" s="52"/>
      <c r="E1659" s="95"/>
      <c r="F1659" s="95">
        <f t="shared" ref="F1659:L1659" si="1265">F1660</f>
        <v>61793</v>
      </c>
      <c r="G1659" s="95">
        <f t="shared" si="1265"/>
        <v>-28025</v>
      </c>
      <c r="H1659" s="95">
        <f t="shared" si="1265"/>
        <v>33768</v>
      </c>
      <c r="I1659" s="95">
        <f t="shared" si="1265"/>
        <v>-3768</v>
      </c>
      <c r="J1659" s="95">
        <f t="shared" si="1265"/>
        <v>30000</v>
      </c>
      <c r="K1659" s="95">
        <f t="shared" si="1265"/>
        <v>41032</v>
      </c>
      <c r="L1659" s="298">
        <f t="shared" si="1265"/>
        <v>85200</v>
      </c>
      <c r="M1659" s="335">
        <f t="shared" si="1238"/>
        <v>1.84</v>
      </c>
      <c r="N1659" s="329">
        <f t="shared" si="1231"/>
        <v>55200</v>
      </c>
    </row>
    <row r="1660" spans="1:14" s="6" customFormat="1" ht="14.1" customHeight="1">
      <c r="A1660" s="66"/>
      <c r="B1660" s="64"/>
      <c r="C1660" s="178" t="s">
        <v>801</v>
      </c>
      <c r="D1660" s="179"/>
      <c r="E1660" s="181"/>
      <c r="F1660" s="181">
        <v>61793</v>
      </c>
      <c r="G1660" s="243">
        <v>-28025</v>
      </c>
      <c r="H1660" s="253">
        <f t="shared" ref="H1660" si="1266">F1660+G1660</f>
        <v>33768</v>
      </c>
      <c r="I1660" s="182">
        <v>-3768</v>
      </c>
      <c r="J1660" s="253">
        <f t="shared" ref="J1660" si="1267">H1660+I1660</f>
        <v>30000</v>
      </c>
      <c r="K1660" s="270">
        <v>41032</v>
      </c>
      <c r="L1660" s="299">
        <v>85200</v>
      </c>
      <c r="M1660" s="335">
        <f t="shared" si="1238"/>
        <v>1.84</v>
      </c>
      <c r="N1660" s="329">
        <f t="shared" si="1231"/>
        <v>55200</v>
      </c>
    </row>
    <row r="1661" spans="1:14" ht="14.1" customHeight="1">
      <c r="A1661" s="45" t="s">
        <v>802</v>
      </c>
      <c r="B1661" s="46"/>
      <c r="C1661" s="47" t="s">
        <v>803</v>
      </c>
      <c r="D1661" s="53">
        <v>210548</v>
      </c>
      <c r="E1661" s="50">
        <v>396661</v>
      </c>
      <c r="F1661" s="50">
        <f>F1662+F1672+F1673+F1674+F1678+F1682+F1684+F1685</f>
        <v>331739</v>
      </c>
      <c r="G1661" s="50">
        <f t="shared" ref="G1661:H1661" si="1268">G1662+G1672+G1673+G1674+G1678+G1682+G1684+G1685</f>
        <v>10239</v>
      </c>
      <c r="H1661" s="50">
        <f t="shared" si="1268"/>
        <v>341978</v>
      </c>
      <c r="I1661" s="50">
        <f>I1662+I1672+I1673+I1674+I1678+I1682+I1684+I1685+I1683</f>
        <v>-3031</v>
      </c>
      <c r="J1661" s="50">
        <f>J1662+J1672+J1673+J1674+J1678+J1682+J1684+J1685+J1683</f>
        <v>338947</v>
      </c>
      <c r="K1661" s="50">
        <f>K1662+K1672+K1673+K1674+K1678+K1682+K1684+K1685+K1683</f>
        <v>181880</v>
      </c>
      <c r="L1661" s="50">
        <f>L1662+L1672+L1673+L1674+L1678+L1682+L1684+L1685</f>
        <v>291500</v>
      </c>
      <c r="M1661" s="335">
        <f t="shared" si="1238"/>
        <v>-0.13998353724918644</v>
      </c>
      <c r="N1661" s="329">
        <f t="shared" si="1231"/>
        <v>-47447</v>
      </c>
    </row>
    <row r="1662" spans="1:14" ht="14.1" customHeight="1">
      <c r="A1662" s="203"/>
      <c r="B1662" s="204">
        <v>4130</v>
      </c>
      <c r="C1662" s="205" t="s">
        <v>804</v>
      </c>
      <c r="D1662" s="206"/>
      <c r="E1662" s="141">
        <v>0</v>
      </c>
      <c r="F1662" s="141">
        <f>SUM(F1663:F1671)</f>
        <v>162500</v>
      </c>
      <c r="G1662" s="141">
        <f t="shared" ref="G1662" si="1269">SUM(G1663:G1671)</f>
        <v>0</v>
      </c>
      <c r="H1662" s="141">
        <f>SUM(H1663:H1671)</f>
        <v>162500</v>
      </c>
      <c r="I1662" s="141">
        <f>SUM(I1663:I1671)</f>
        <v>-5000</v>
      </c>
      <c r="J1662" s="141">
        <f>SUM(J1663:J1671)</f>
        <v>157500</v>
      </c>
      <c r="K1662" s="141">
        <f>SUM(K1663:K1671)</f>
        <v>98583</v>
      </c>
      <c r="L1662" s="141">
        <f>SUM(L1663:L1671)</f>
        <v>146500</v>
      </c>
      <c r="M1662" s="335">
        <f t="shared" si="1238"/>
        <v>-6.9841269841269843E-2</v>
      </c>
      <c r="N1662" s="329">
        <f t="shared" si="1231"/>
        <v>-11000</v>
      </c>
    </row>
    <row r="1663" spans="1:14" ht="14.1" customHeight="1">
      <c r="A1663" s="32"/>
      <c r="B1663" s="214" t="s">
        <v>234</v>
      </c>
      <c r="C1663" s="157" t="s">
        <v>805</v>
      </c>
      <c r="D1663" s="52">
        <v>97000</v>
      </c>
      <c r="E1663" s="147">
        <v>97000</v>
      </c>
      <c r="F1663" s="229">
        <v>15000</v>
      </c>
      <c r="G1663" s="147"/>
      <c r="H1663" s="147">
        <f t="shared" ref="H1663:H1695" si="1270">+G1663+F1663</f>
        <v>15000</v>
      </c>
      <c r="I1663" s="147">
        <v>5000</v>
      </c>
      <c r="J1663" s="147">
        <f t="shared" ref="J1663:J1673" si="1271">+I1663+H1663</f>
        <v>20000</v>
      </c>
      <c r="K1663" s="170">
        <v>11566</v>
      </c>
      <c r="L1663" s="229">
        <v>20000</v>
      </c>
      <c r="M1663" s="335">
        <f t="shared" si="1238"/>
        <v>0</v>
      </c>
      <c r="N1663" s="329">
        <f t="shared" si="1231"/>
        <v>0</v>
      </c>
    </row>
    <row r="1664" spans="1:14" ht="14.1" customHeight="1">
      <c r="A1664" s="32"/>
      <c r="B1664" s="214" t="s">
        <v>236</v>
      </c>
      <c r="C1664" s="157" t="s">
        <v>806</v>
      </c>
      <c r="D1664" s="52">
        <v>20000</v>
      </c>
      <c r="E1664" s="147">
        <v>10000</v>
      </c>
      <c r="F1664" s="229">
        <v>2500</v>
      </c>
      <c r="G1664" s="147"/>
      <c r="H1664" s="147">
        <f t="shared" si="1270"/>
        <v>2500</v>
      </c>
      <c r="I1664" s="147"/>
      <c r="J1664" s="147">
        <f t="shared" si="1271"/>
        <v>2500</v>
      </c>
      <c r="K1664" s="170">
        <v>1385</v>
      </c>
      <c r="L1664" s="229">
        <v>2500</v>
      </c>
      <c r="M1664" s="335">
        <f t="shared" si="1238"/>
        <v>0</v>
      </c>
      <c r="N1664" s="329">
        <f t="shared" si="1231"/>
        <v>0</v>
      </c>
    </row>
    <row r="1665" spans="1:14" ht="14.1" customHeight="1">
      <c r="A1665" s="32"/>
      <c r="B1665" s="214" t="s">
        <v>240</v>
      </c>
      <c r="C1665" s="157" t="s">
        <v>807</v>
      </c>
      <c r="D1665" s="52"/>
      <c r="E1665" s="147">
        <v>3300</v>
      </c>
      <c r="F1665" s="229">
        <v>10000</v>
      </c>
      <c r="G1665" s="147"/>
      <c r="H1665" s="147">
        <f t="shared" si="1270"/>
        <v>10000</v>
      </c>
      <c r="I1665" s="147">
        <v>-5000</v>
      </c>
      <c r="J1665" s="147">
        <f t="shared" si="1271"/>
        <v>5000</v>
      </c>
      <c r="K1665" s="170">
        <v>2372</v>
      </c>
      <c r="L1665" s="229">
        <v>5000</v>
      </c>
      <c r="M1665" s="335">
        <f t="shared" si="1238"/>
        <v>0</v>
      </c>
      <c r="N1665" s="329">
        <f t="shared" si="1231"/>
        <v>0</v>
      </c>
    </row>
    <row r="1666" spans="1:14" ht="14.1" customHeight="1">
      <c r="A1666" s="32"/>
      <c r="B1666" s="214" t="s">
        <v>242</v>
      </c>
      <c r="C1666" s="157" t="s">
        <v>808</v>
      </c>
      <c r="D1666" s="52">
        <v>31168</v>
      </c>
      <c r="E1666" s="147">
        <v>0</v>
      </c>
      <c r="F1666" s="229">
        <v>3000</v>
      </c>
      <c r="G1666" s="147"/>
      <c r="H1666" s="147">
        <f t="shared" si="1270"/>
        <v>3000</v>
      </c>
      <c r="I1666" s="147"/>
      <c r="J1666" s="147">
        <f t="shared" si="1271"/>
        <v>3000</v>
      </c>
      <c r="K1666" s="170">
        <v>2382</v>
      </c>
      <c r="L1666" s="229">
        <v>3000</v>
      </c>
      <c r="M1666" s="335">
        <f t="shared" si="1238"/>
        <v>0</v>
      </c>
      <c r="N1666" s="329">
        <f t="shared" si="1231"/>
        <v>0</v>
      </c>
    </row>
    <row r="1667" spans="1:14" ht="13.5" customHeight="1">
      <c r="A1667" s="32"/>
      <c r="B1667" s="214" t="s">
        <v>809</v>
      </c>
      <c r="C1667" s="157" t="s">
        <v>810</v>
      </c>
      <c r="D1667" s="52">
        <v>0</v>
      </c>
      <c r="E1667" s="147">
        <v>3000</v>
      </c>
      <c r="F1667" s="229">
        <v>90000</v>
      </c>
      <c r="G1667" s="147"/>
      <c r="H1667" s="147">
        <f t="shared" si="1270"/>
        <v>90000</v>
      </c>
      <c r="I1667" s="147">
        <v>-10000</v>
      </c>
      <c r="J1667" s="147">
        <f t="shared" si="1271"/>
        <v>80000</v>
      </c>
      <c r="K1667" s="170">
        <v>62010</v>
      </c>
      <c r="L1667" s="229">
        <v>80000</v>
      </c>
      <c r="M1667" s="335">
        <f t="shared" si="1238"/>
        <v>0</v>
      </c>
      <c r="N1667" s="329">
        <f t="shared" si="1231"/>
        <v>0</v>
      </c>
    </row>
    <row r="1668" spans="1:14" ht="13.5" customHeight="1">
      <c r="A1668" s="32"/>
      <c r="B1668" s="214" t="s">
        <v>811</v>
      </c>
      <c r="C1668" s="157" t="s">
        <v>812</v>
      </c>
      <c r="D1668" s="52">
        <v>0</v>
      </c>
      <c r="E1668" s="147">
        <v>0</v>
      </c>
      <c r="F1668" s="229">
        <v>7000</v>
      </c>
      <c r="G1668" s="147"/>
      <c r="H1668" s="147">
        <f t="shared" si="1270"/>
        <v>7000</v>
      </c>
      <c r="I1668" s="147"/>
      <c r="J1668" s="147">
        <f t="shared" si="1271"/>
        <v>7000</v>
      </c>
      <c r="K1668" s="170">
        <v>4068</v>
      </c>
      <c r="L1668" s="229">
        <v>6000</v>
      </c>
      <c r="M1668" s="335">
        <f t="shared" si="1238"/>
        <v>-0.14285714285714285</v>
      </c>
      <c r="N1668" s="329">
        <f t="shared" si="1231"/>
        <v>-1000</v>
      </c>
    </row>
    <row r="1669" spans="1:14" ht="13.5" customHeight="1">
      <c r="A1669" s="32"/>
      <c r="B1669" s="214" t="s">
        <v>813</v>
      </c>
      <c r="C1669" s="157" t="s">
        <v>814</v>
      </c>
      <c r="D1669" s="52">
        <v>0</v>
      </c>
      <c r="E1669" s="147">
        <v>0</v>
      </c>
      <c r="F1669" s="229">
        <v>5000</v>
      </c>
      <c r="G1669" s="147"/>
      <c r="H1669" s="147">
        <f t="shared" si="1270"/>
        <v>5000</v>
      </c>
      <c r="I1669" s="147"/>
      <c r="J1669" s="147">
        <f t="shared" si="1271"/>
        <v>5000</v>
      </c>
      <c r="K1669" s="170"/>
      <c r="L1669" s="229">
        <v>3000</v>
      </c>
      <c r="M1669" s="335">
        <f t="shared" si="1238"/>
        <v>-0.4</v>
      </c>
      <c r="N1669" s="329">
        <f t="shared" si="1231"/>
        <v>-2000</v>
      </c>
    </row>
    <row r="1670" spans="1:14" ht="14.1" customHeight="1">
      <c r="A1670" s="32"/>
      <c r="B1670" s="214" t="s">
        <v>815</v>
      </c>
      <c r="C1670" s="157" t="s">
        <v>816</v>
      </c>
      <c r="D1670" s="52">
        <v>6000</v>
      </c>
      <c r="E1670" s="147">
        <v>6000</v>
      </c>
      <c r="F1670" s="229">
        <v>10000</v>
      </c>
      <c r="G1670" s="147"/>
      <c r="H1670" s="147">
        <f t="shared" si="1270"/>
        <v>10000</v>
      </c>
      <c r="I1670" s="147"/>
      <c r="J1670" s="147">
        <f t="shared" si="1271"/>
        <v>10000</v>
      </c>
      <c r="K1670" s="170"/>
      <c r="L1670" s="229">
        <v>7000</v>
      </c>
      <c r="M1670" s="335">
        <f t="shared" si="1238"/>
        <v>-0.3</v>
      </c>
      <c r="N1670" s="329">
        <f t="shared" ref="N1670:N1733" si="1272">L1670-J1670</f>
        <v>-3000</v>
      </c>
    </row>
    <row r="1671" spans="1:14" ht="14.1" customHeight="1">
      <c r="A1671" s="32"/>
      <c r="B1671" s="214" t="s">
        <v>817</v>
      </c>
      <c r="C1671" s="157" t="s">
        <v>818</v>
      </c>
      <c r="D1671" s="52">
        <v>3000</v>
      </c>
      <c r="E1671" s="147">
        <v>3000</v>
      </c>
      <c r="F1671" s="229">
        <v>20000</v>
      </c>
      <c r="G1671" s="147"/>
      <c r="H1671" s="147">
        <f t="shared" si="1270"/>
        <v>20000</v>
      </c>
      <c r="I1671" s="147">
        <v>5000</v>
      </c>
      <c r="J1671" s="147">
        <f t="shared" si="1271"/>
        <v>25000</v>
      </c>
      <c r="K1671" s="170">
        <v>14800</v>
      </c>
      <c r="L1671" s="229">
        <v>20000</v>
      </c>
      <c r="M1671" s="335">
        <f t="shared" si="1238"/>
        <v>-0.2</v>
      </c>
      <c r="N1671" s="329">
        <f t="shared" si="1272"/>
        <v>-5000</v>
      </c>
    </row>
    <row r="1672" spans="1:14" ht="14.1" customHeight="1">
      <c r="A1672" s="32"/>
      <c r="B1672" s="33">
        <v>4131</v>
      </c>
      <c r="C1672" s="34" t="s">
        <v>819</v>
      </c>
      <c r="D1672" s="52"/>
      <c r="E1672" s="140">
        <v>185587</v>
      </c>
      <c r="F1672" s="141">
        <v>0</v>
      </c>
      <c r="G1672" s="141"/>
      <c r="H1672" s="141">
        <f t="shared" si="1270"/>
        <v>0</v>
      </c>
      <c r="I1672" s="141"/>
      <c r="J1672" s="141">
        <f t="shared" si="1271"/>
        <v>0</v>
      </c>
      <c r="K1672" s="269"/>
      <c r="L1672" s="141">
        <v>0</v>
      </c>
      <c r="M1672" s="335" t="e">
        <f t="shared" si="1238"/>
        <v>#DIV/0!</v>
      </c>
      <c r="N1672" s="329">
        <f t="shared" si="1272"/>
        <v>0</v>
      </c>
    </row>
    <row r="1673" spans="1:14" ht="14.1" customHeight="1">
      <c r="A1673" s="32"/>
      <c r="B1673" s="33">
        <v>4133</v>
      </c>
      <c r="C1673" s="146" t="s">
        <v>820</v>
      </c>
      <c r="D1673" s="52"/>
      <c r="E1673" s="140"/>
      <c r="F1673" s="141">
        <v>1000</v>
      </c>
      <c r="G1673" s="141"/>
      <c r="H1673" s="141">
        <f>+G1673+F1673</f>
        <v>1000</v>
      </c>
      <c r="I1673" s="141"/>
      <c r="J1673" s="141">
        <f t="shared" si="1271"/>
        <v>1000</v>
      </c>
      <c r="K1673" s="269">
        <v>0</v>
      </c>
      <c r="L1673" s="141">
        <v>1000</v>
      </c>
      <c r="M1673" s="335">
        <f t="shared" si="1238"/>
        <v>0</v>
      </c>
      <c r="N1673" s="329">
        <f t="shared" si="1272"/>
        <v>0</v>
      </c>
    </row>
    <row r="1674" spans="1:14" ht="14.1" customHeight="1">
      <c r="A1674" s="32"/>
      <c r="B1674" s="33">
        <v>4134</v>
      </c>
      <c r="C1674" s="34" t="s">
        <v>821</v>
      </c>
      <c r="D1674" s="52"/>
      <c r="E1674" s="141"/>
      <c r="F1674" s="141">
        <f>SUM(F1675:F1677)</f>
        <v>77900</v>
      </c>
      <c r="G1674" s="141">
        <f t="shared" ref="G1674:H1674" si="1273">SUM(G1675:G1677)</f>
        <v>0</v>
      </c>
      <c r="H1674" s="141">
        <f t="shared" si="1273"/>
        <v>77900</v>
      </c>
      <c r="I1674" s="141">
        <f>SUM(I1675:I1677)</f>
        <v>-30000</v>
      </c>
      <c r="J1674" s="141">
        <f t="shared" ref="J1674:K1674" si="1274">SUM(J1675:J1677)</f>
        <v>47900</v>
      </c>
      <c r="K1674" s="141">
        <f t="shared" si="1274"/>
        <v>14311</v>
      </c>
      <c r="L1674" s="141">
        <f>SUM(L1675:L1677)</f>
        <v>43000</v>
      </c>
      <c r="M1674" s="335">
        <f t="shared" si="1238"/>
        <v>-0.1022964509394572</v>
      </c>
      <c r="N1674" s="329">
        <f t="shared" si="1272"/>
        <v>-4900</v>
      </c>
    </row>
    <row r="1675" spans="1:14" ht="14.1" customHeight="1">
      <c r="A1675" s="32"/>
      <c r="B1675" s="214" t="s">
        <v>234</v>
      </c>
      <c r="C1675" s="157" t="s">
        <v>822</v>
      </c>
      <c r="D1675" s="52">
        <v>2000</v>
      </c>
      <c r="E1675" s="147">
        <v>2000</v>
      </c>
      <c r="F1675" s="227">
        <v>75900</v>
      </c>
      <c r="G1675" s="182"/>
      <c r="H1675" s="182">
        <f t="shared" si="1270"/>
        <v>75900</v>
      </c>
      <c r="I1675" s="147">
        <v>-30000</v>
      </c>
      <c r="J1675" s="182">
        <f t="shared" ref="J1675:J1677" si="1275">+I1675+H1675</f>
        <v>45900</v>
      </c>
      <c r="K1675" s="182">
        <v>14270</v>
      </c>
      <c r="L1675" s="227">
        <v>40000</v>
      </c>
      <c r="M1675" s="335">
        <f t="shared" ref="M1675:M1736" si="1276">(L1675-J1675)/J1675</f>
        <v>-0.12854030501089325</v>
      </c>
      <c r="N1675" s="329">
        <f t="shared" si="1272"/>
        <v>-5900</v>
      </c>
    </row>
    <row r="1676" spans="1:14" ht="14.1" customHeight="1">
      <c r="A1676" s="32"/>
      <c r="B1676" s="214" t="s">
        <v>240</v>
      </c>
      <c r="C1676" s="157" t="s">
        <v>823</v>
      </c>
      <c r="D1676" s="52"/>
      <c r="E1676" s="147"/>
      <c r="F1676" s="227">
        <v>1000</v>
      </c>
      <c r="G1676" s="182"/>
      <c r="H1676" s="182">
        <f t="shared" si="1270"/>
        <v>1000</v>
      </c>
      <c r="I1676" s="182"/>
      <c r="J1676" s="182">
        <f t="shared" si="1275"/>
        <v>1000</v>
      </c>
      <c r="K1676" s="182"/>
      <c r="L1676" s="227">
        <v>2000</v>
      </c>
      <c r="M1676" s="335">
        <f t="shared" si="1276"/>
        <v>1</v>
      </c>
      <c r="N1676" s="329">
        <f t="shared" si="1272"/>
        <v>1000</v>
      </c>
    </row>
    <row r="1677" spans="1:14" ht="14.1" customHeight="1">
      <c r="A1677" s="32"/>
      <c r="B1677" s="215" t="s">
        <v>824</v>
      </c>
      <c r="C1677" s="157" t="s">
        <v>825</v>
      </c>
      <c r="D1677" s="52"/>
      <c r="E1677" s="147"/>
      <c r="F1677" s="227">
        <v>1000</v>
      </c>
      <c r="G1677" s="182"/>
      <c r="H1677" s="182">
        <f t="shared" si="1270"/>
        <v>1000</v>
      </c>
      <c r="I1677" s="182"/>
      <c r="J1677" s="182">
        <f t="shared" si="1275"/>
        <v>1000</v>
      </c>
      <c r="K1677" s="182">
        <v>41</v>
      </c>
      <c r="L1677" s="227">
        <v>1000</v>
      </c>
      <c r="M1677" s="335">
        <f t="shared" si="1276"/>
        <v>0</v>
      </c>
      <c r="N1677" s="329">
        <f t="shared" si="1272"/>
        <v>0</v>
      </c>
    </row>
    <row r="1678" spans="1:14" ht="14.1" customHeight="1">
      <c r="A1678" s="32"/>
      <c r="B1678" s="33">
        <v>4138</v>
      </c>
      <c r="C1678" s="34" t="s">
        <v>784</v>
      </c>
      <c r="D1678" s="52">
        <v>31168</v>
      </c>
      <c r="E1678" s="141"/>
      <c r="F1678" s="141">
        <f>SUM(F1679:F1681)</f>
        <v>35500</v>
      </c>
      <c r="G1678" s="141">
        <f t="shared" ref="G1678:H1678" si="1277">SUM(G1679:G1681)</f>
        <v>10239</v>
      </c>
      <c r="H1678" s="141">
        <f t="shared" si="1277"/>
        <v>45739</v>
      </c>
      <c r="I1678" s="141">
        <f>SUM(I1679:I1681)</f>
        <v>12284</v>
      </c>
      <c r="J1678" s="141">
        <f t="shared" ref="J1678:K1678" si="1278">SUM(J1679:J1681)</f>
        <v>58023</v>
      </c>
      <c r="K1678" s="141">
        <f t="shared" si="1278"/>
        <v>38410</v>
      </c>
      <c r="L1678" s="141">
        <f>SUM(L1679:L1681)</f>
        <v>60500</v>
      </c>
      <c r="M1678" s="335">
        <f t="shared" si="1276"/>
        <v>4.2689967771400994E-2</v>
      </c>
      <c r="N1678" s="329">
        <f t="shared" si="1272"/>
        <v>2477</v>
      </c>
    </row>
    <row r="1679" spans="1:14" ht="14.1" customHeight="1">
      <c r="A1679" s="32"/>
      <c r="B1679" s="252" t="s">
        <v>675</v>
      </c>
      <c r="C1679" s="157" t="s">
        <v>826</v>
      </c>
      <c r="D1679" s="52">
        <v>30000</v>
      </c>
      <c r="E1679" s="147">
        <v>30271</v>
      </c>
      <c r="F1679" s="221">
        <v>20000</v>
      </c>
      <c r="G1679" s="249">
        <v>10239</v>
      </c>
      <c r="H1679" s="253">
        <f t="shared" si="1270"/>
        <v>30239</v>
      </c>
      <c r="I1679" s="155">
        <v>-7716</v>
      </c>
      <c r="J1679" s="253">
        <f t="shared" ref="J1679:J1683" si="1279">+I1679+H1679</f>
        <v>22523</v>
      </c>
      <c r="K1679" s="253">
        <v>14750</v>
      </c>
      <c r="L1679" s="221">
        <v>20000</v>
      </c>
      <c r="M1679" s="335">
        <f t="shared" si="1276"/>
        <v>-0.11201882520090574</v>
      </c>
      <c r="N1679" s="329">
        <f t="shared" si="1272"/>
        <v>-2523</v>
      </c>
    </row>
    <row r="1680" spans="1:14" ht="14.1" customHeight="1">
      <c r="A1680" s="32"/>
      <c r="B1680" s="1"/>
      <c r="C1680" s="157" t="s">
        <v>827</v>
      </c>
      <c r="D1680" s="1"/>
      <c r="E1680" s="147">
        <v>30733</v>
      </c>
      <c r="F1680" s="221">
        <v>500</v>
      </c>
      <c r="G1680" s="155"/>
      <c r="H1680" s="182">
        <f t="shared" si="1270"/>
        <v>500</v>
      </c>
      <c r="I1680" s="155"/>
      <c r="J1680" s="182">
        <f t="shared" si="1279"/>
        <v>500</v>
      </c>
      <c r="K1680" s="182"/>
      <c r="L1680" s="221">
        <v>500</v>
      </c>
      <c r="M1680" s="335">
        <f t="shared" si="1276"/>
        <v>0</v>
      </c>
      <c r="N1680" s="329">
        <f t="shared" si="1272"/>
        <v>0</v>
      </c>
    </row>
    <row r="1681" spans="1:14" ht="14.1" customHeight="1">
      <c r="A1681" s="32"/>
      <c r="B1681" s="1"/>
      <c r="C1681" s="157" t="s">
        <v>828</v>
      </c>
      <c r="D1681" s="1"/>
      <c r="E1681" s="146"/>
      <c r="F1681" s="221">
        <v>15000</v>
      </c>
      <c r="G1681" s="155"/>
      <c r="H1681" s="182">
        <f t="shared" si="1270"/>
        <v>15000</v>
      </c>
      <c r="I1681" s="155">
        <v>20000</v>
      </c>
      <c r="J1681" s="182">
        <f t="shared" si="1279"/>
        <v>35000</v>
      </c>
      <c r="K1681" s="182">
        <v>23660</v>
      </c>
      <c r="L1681" s="221">
        <v>40000</v>
      </c>
      <c r="M1681" s="335">
        <f t="shared" si="1276"/>
        <v>0.14285714285714285</v>
      </c>
      <c r="N1681" s="329">
        <f t="shared" si="1272"/>
        <v>5000</v>
      </c>
    </row>
    <row r="1682" spans="1:14" ht="14.1" customHeight="1">
      <c r="A1682" s="32"/>
      <c r="B1682" s="33">
        <v>4139</v>
      </c>
      <c r="C1682" s="37" t="s">
        <v>829</v>
      </c>
      <c r="D1682" s="52">
        <v>0</v>
      </c>
      <c r="E1682" s="140">
        <v>7500</v>
      </c>
      <c r="F1682" s="141">
        <v>8250</v>
      </c>
      <c r="G1682" s="141"/>
      <c r="H1682" s="141">
        <f t="shared" si="1270"/>
        <v>8250</v>
      </c>
      <c r="I1682" s="141"/>
      <c r="J1682" s="141">
        <f t="shared" si="1279"/>
        <v>8250</v>
      </c>
      <c r="K1682" s="141">
        <v>3375</v>
      </c>
      <c r="L1682" s="141">
        <v>8000</v>
      </c>
      <c r="M1682" s="335">
        <f t="shared" si="1276"/>
        <v>-3.0303030303030304E-2</v>
      </c>
      <c r="N1682" s="329">
        <f t="shared" si="1272"/>
        <v>-250</v>
      </c>
    </row>
    <row r="1683" spans="1:14" ht="14.1" customHeight="1">
      <c r="A1683" s="32"/>
      <c r="B1683" s="33">
        <v>4521</v>
      </c>
      <c r="C1683" s="37" t="s">
        <v>830</v>
      </c>
      <c r="D1683" s="52"/>
      <c r="E1683" s="140"/>
      <c r="F1683" s="141"/>
      <c r="G1683" s="141"/>
      <c r="H1683" s="141"/>
      <c r="I1683" s="225">
        <v>1000</v>
      </c>
      <c r="J1683" s="282">
        <f t="shared" si="1279"/>
        <v>1000</v>
      </c>
      <c r="K1683" s="282">
        <v>1000</v>
      </c>
      <c r="L1683" s="141"/>
      <c r="M1683" s="335">
        <f t="shared" si="1276"/>
        <v>-1</v>
      </c>
      <c r="N1683" s="329">
        <f t="shared" si="1272"/>
        <v>-1000</v>
      </c>
    </row>
    <row r="1684" spans="1:14" ht="14.1" customHeight="1">
      <c r="A1684" s="32"/>
      <c r="B1684" s="38">
        <v>50</v>
      </c>
      <c r="C1684" s="39" t="s">
        <v>211</v>
      </c>
      <c r="D1684" s="52"/>
      <c r="E1684" s="143">
        <v>660</v>
      </c>
      <c r="F1684" s="226">
        <v>19927</v>
      </c>
      <c r="G1684" s="143"/>
      <c r="H1684" s="143">
        <f>+G1684+F1684</f>
        <v>19927</v>
      </c>
      <c r="I1684" s="143">
        <v>-17927</v>
      </c>
      <c r="J1684" s="143">
        <f>+I1684+H1684</f>
        <v>2000</v>
      </c>
      <c r="K1684" s="143">
        <v>0</v>
      </c>
      <c r="L1684" s="143">
        <v>4000</v>
      </c>
      <c r="M1684" s="335">
        <f t="shared" si="1276"/>
        <v>1</v>
      </c>
      <c r="N1684" s="329">
        <f t="shared" si="1272"/>
        <v>2000</v>
      </c>
    </row>
    <row r="1685" spans="1:14" ht="14.1" customHeight="1">
      <c r="A1685" s="32"/>
      <c r="B1685" s="38">
        <v>55</v>
      </c>
      <c r="C1685" s="39" t="s">
        <v>774</v>
      </c>
      <c r="D1685" s="52"/>
      <c r="E1685" s="137"/>
      <c r="F1685" s="137">
        <f>F1686+F1687+F1694</f>
        <v>26662</v>
      </c>
      <c r="G1685" s="137">
        <f t="shared" ref="G1685:H1685" si="1280">G1686+G1687+G1694</f>
        <v>0</v>
      </c>
      <c r="H1685" s="137">
        <f t="shared" si="1280"/>
        <v>26662</v>
      </c>
      <c r="I1685" s="137">
        <f t="shared" ref="I1685" si="1281">I1686+I1687+I1694</f>
        <v>36612</v>
      </c>
      <c r="J1685" s="137">
        <f>J1686+J1687+J1694</f>
        <v>63274</v>
      </c>
      <c r="K1685" s="137">
        <f t="shared" ref="K1685:L1685" si="1282">K1686+K1687+K1694</f>
        <v>26201</v>
      </c>
      <c r="L1685" s="137">
        <f t="shared" si="1282"/>
        <v>28500</v>
      </c>
      <c r="M1685" s="335">
        <f t="shared" si="1276"/>
        <v>-0.54957802572936754</v>
      </c>
      <c r="N1685" s="329">
        <f t="shared" si="1272"/>
        <v>-34774</v>
      </c>
    </row>
    <row r="1686" spans="1:14" ht="14.1" customHeight="1">
      <c r="A1686" s="32"/>
      <c r="B1686" s="33">
        <v>5525</v>
      </c>
      <c r="C1686" s="34" t="s">
        <v>831</v>
      </c>
      <c r="D1686" s="52"/>
      <c r="E1686" s="17"/>
      <c r="F1686" s="226">
        <v>14100</v>
      </c>
      <c r="G1686" s="17"/>
      <c r="H1686" s="17">
        <f t="shared" si="1270"/>
        <v>14100</v>
      </c>
      <c r="I1686" s="17"/>
      <c r="J1686" s="17">
        <f t="shared" ref="J1686" si="1283">+I1686+H1686</f>
        <v>14100</v>
      </c>
      <c r="K1686" s="20">
        <v>6705</v>
      </c>
      <c r="L1686" s="226">
        <v>14000</v>
      </c>
      <c r="M1686" s="335">
        <f t="shared" si="1276"/>
        <v>-7.0921985815602835E-3</v>
      </c>
      <c r="N1686" s="329">
        <f t="shared" si="1272"/>
        <v>-100</v>
      </c>
    </row>
    <row r="1687" spans="1:14" ht="14.1" customHeight="1">
      <c r="A1687" s="32"/>
      <c r="B1687" s="33">
        <v>5526</v>
      </c>
      <c r="C1687" s="34" t="s">
        <v>800</v>
      </c>
      <c r="D1687" s="52">
        <v>33610</v>
      </c>
      <c r="E1687" s="17">
        <v>17610</v>
      </c>
      <c r="F1687" s="226">
        <f>SUM(F1688:F1692)</f>
        <v>10562</v>
      </c>
      <c r="G1687" s="17">
        <f t="shared" ref="G1687" si="1284">SUM(G1688:G1692)</f>
        <v>0</v>
      </c>
      <c r="H1687" s="17">
        <f t="shared" ref="H1687:I1687" si="1285">SUM(H1688:H1693)</f>
        <v>10562</v>
      </c>
      <c r="I1687" s="17">
        <f t="shared" si="1285"/>
        <v>36612</v>
      </c>
      <c r="J1687" s="17">
        <f>SUM(J1688:J1693)</f>
        <v>47174</v>
      </c>
      <c r="K1687" s="17">
        <f t="shared" ref="K1687:L1687" si="1286">SUM(K1688:K1693)</f>
        <v>17996</v>
      </c>
      <c r="L1687" s="17">
        <f t="shared" si="1286"/>
        <v>12500</v>
      </c>
      <c r="M1687" s="335">
        <f t="shared" si="1276"/>
        <v>-0.73502352991054398</v>
      </c>
      <c r="N1687" s="329">
        <f t="shared" si="1272"/>
        <v>-34674</v>
      </c>
    </row>
    <row r="1688" spans="1:14" ht="14.1" customHeight="1">
      <c r="A1688" s="32"/>
      <c r="B1688" s="158" t="s">
        <v>832</v>
      </c>
      <c r="C1688" s="146" t="s">
        <v>833</v>
      </c>
      <c r="D1688" s="52"/>
      <c r="E1688" s="147"/>
      <c r="F1688" s="227">
        <v>300</v>
      </c>
      <c r="G1688" s="182"/>
      <c r="H1688" s="147">
        <f t="shared" si="1270"/>
        <v>300</v>
      </c>
      <c r="I1688" s="147"/>
      <c r="J1688" s="147">
        <f t="shared" ref="J1688:J1695" si="1287">+I1688+H1688</f>
        <v>300</v>
      </c>
      <c r="K1688" s="147"/>
      <c r="L1688" s="227">
        <v>500</v>
      </c>
      <c r="M1688" s="335">
        <f t="shared" si="1276"/>
        <v>0.66666666666666663</v>
      </c>
      <c r="N1688" s="329">
        <f t="shared" si="1272"/>
        <v>200</v>
      </c>
    </row>
    <row r="1689" spans="1:14" ht="14.1" customHeight="1">
      <c r="A1689" s="32"/>
      <c r="B1689" s="158" t="s">
        <v>834</v>
      </c>
      <c r="C1689" s="146" t="s">
        <v>835</v>
      </c>
      <c r="D1689" s="52"/>
      <c r="E1689" s="147"/>
      <c r="F1689" s="227"/>
      <c r="G1689" s="182"/>
      <c r="H1689" s="147"/>
      <c r="I1689" s="147"/>
      <c r="J1689" s="147"/>
      <c r="K1689" s="147">
        <v>4520</v>
      </c>
      <c r="L1689" s="227"/>
      <c r="M1689" s="335"/>
      <c r="N1689" s="329">
        <f t="shared" si="1272"/>
        <v>0</v>
      </c>
    </row>
    <row r="1690" spans="1:14" ht="14.1" customHeight="1">
      <c r="A1690" s="32"/>
      <c r="B1690" s="158" t="s">
        <v>836</v>
      </c>
      <c r="C1690" s="146" t="s">
        <v>837</v>
      </c>
      <c r="D1690" s="52"/>
      <c r="E1690" s="147"/>
      <c r="F1690" s="227"/>
      <c r="G1690" s="182"/>
      <c r="H1690" s="147"/>
      <c r="I1690" s="147"/>
      <c r="J1690" s="147"/>
      <c r="K1690" s="147">
        <v>2776</v>
      </c>
      <c r="L1690" s="227">
        <v>1000</v>
      </c>
      <c r="M1690" s="335" t="e">
        <f t="shared" si="1276"/>
        <v>#DIV/0!</v>
      </c>
      <c r="N1690" s="329">
        <f t="shared" si="1272"/>
        <v>1000</v>
      </c>
    </row>
    <row r="1691" spans="1:14" ht="14.1" customHeight="1">
      <c r="A1691" s="32"/>
      <c r="B1691" s="158" t="s">
        <v>838</v>
      </c>
      <c r="C1691" s="146" t="s">
        <v>839</v>
      </c>
      <c r="D1691" s="52"/>
      <c r="E1691" s="147"/>
      <c r="F1691" s="227">
        <v>262</v>
      </c>
      <c r="G1691" s="182"/>
      <c r="H1691" s="147">
        <f t="shared" si="1270"/>
        <v>262</v>
      </c>
      <c r="I1691" s="147"/>
      <c r="J1691" s="147">
        <f t="shared" si="1287"/>
        <v>262</v>
      </c>
      <c r="K1691" s="147">
        <v>800</v>
      </c>
      <c r="L1691" s="227">
        <v>1000</v>
      </c>
      <c r="M1691" s="335">
        <f t="shared" si="1276"/>
        <v>2.8167938931297711</v>
      </c>
      <c r="N1691" s="329">
        <f t="shared" si="1272"/>
        <v>738</v>
      </c>
    </row>
    <row r="1692" spans="1:14" ht="14.1" customHeight="1">
      <c r="A1692" s="32"/>
      <c r="B1692" s="158" t="s">
        <v>840</v>
      </c>
      <c r="C1692" s="146" t="s">
        <v>841</v>
      </c>
      <c r="D1692" s="52"/>
      <c r="E1692" s="147"/>
      <c r="F1692" s="227">
        <v>10000</v>
      </c>
      <c r="G1692" s="182"/>
      <c r="H1692" s="147">
        <f t="shared" si="1270"/>
        <v>10000</v>
      </c>
      <c r="I1692" s="147"/>
      <c r="J1692" s="147">
        <f t="shared" si="1287"/>
        <v>10000</v>
      </c>
      <c r="K1692" s="147">
        <v>9900</v>
      </c>
      <c r="L1692" s="227">
        <v>10000</v>
      </c>
      <c r="M1692" s="335">
        <f t="shared" si="1276"/>
        <v>0</v>
      </c>
      <c r="N1692" s="329">
        <f t="shared" si="1272"/>
        <v>0</v>
      </c>
    </row>
    <row r="1693" spans="1:14" ht="14.1" customHeight="1">
      <c r="A1693" s="32"/>
      <c r="B1693" s="158" t="s">
        <v>842</v>
      </c>
      <c r="C1693" s="146" t="s">
        <v>843</v>
      </c>
      <c r="D1693" s="52"/>
      <c r="E1693" s="147"/>
      <c r="F1693" s="227"/>
      <c r="G1693" s="182"/>
      <c r="H1693" s="147"/>
      <c r="I1693" s="147">
        <f>4520*8+452</f>
        <v>36612</v>
      </c>
      <c r="J1693" s="147">
        <f t="shared" si="1287"/>
        <v>36612</v>
      </c>
      <c r="K1693" s="147"/>
      <c r="L1693" s="227"/>
      <c r="M1693" s="335">
        <f t="shared" si="1276"/>
        <v>-1</v>
      </c>
      <c r="N1693" s="329">
        <f t="shared" si="1272"/>
        <v>-36612</v>
      </c>
    </row>
    <row r="1694" spans="1:14" ht="13.5" customHeight="1">
      <c r="A1694" s="32"/>
      <c r="B1694" s="33">
        <v>5540</v>
      </c>
      <c r="C1694" s="34" t="s">
        <v>844</v>
      </c>
      <c r="D1694" s="52"/>
      <c r="E1694" s="17"/>
      <c r="F1694" s="226">
        <v>2000</v>
      </c>
      <c r="G1694" s="17"/>
      <c r="H1694" s="17">
        <f t="shared" si="1270"/>
        <v>2000</v>
      </c>
      <c r="I1694" s="17"/>
      <c r="J1694" s="17">
        <f t="shared" si="1287"/>
        <v>2000</v>
      </c>
      <c r="K1694" s="17">
        <v>1500</v>
      </c>
      <c r="L1694" s="226">
        <v>2000</v>
      </c>
      <c r="M1694" s="335">
        <f t="shared" si="1276"/>
        <v>0</v>
      </c>
      <c r="N1694" s="329">
        <f t="shared" si="1272"/>
        <v>0</v>
      </c>
    </row>
    <row r="1695" spans="1:14" ht="14.1" hidden="1" customHeight="1">
      <c r="A1695" s="32"/>
      <c r="B1695" s="33">
        <v>4130</v>
      </c>
      <c r="C1695" s="34"/>
      <c r="D1695" s="52">
        <v>0</v>
      </c>
      <c r="E1695" s="140">
        <v>0</v>
      </c>
      <c r="F1695" s="226"/>
      <c r="G1695" s="20"/>
      <c r="H1695" s="140">
        <f t="shared" si="1270"/>
        <v>0</v>
      </c>
      <c r="I1695" s="20"/>
      <c r="J1695" s="140">
        <f t="shared" si="1287"/>
        <v>0</v>
      </c>
      <c r="K1695" s="201"/>
      <c r="L1695" s="296"/>
      <c r="M1695" s="335" t="e">
        <f t="shared" si="1276"/>
        <v>#DIV/0!</v>
      </c>
      <c r="N1695" s="329">
        <f t="shared" si="1272"/>
        <v>0</v>
      </c>
    </row>
    <row r="1696" spans="1:14" ht="14.1" customHeight="1">
      <c r="A1696" s="45" t="s">
        <v>845</v>
      </c>
      <c r="B1696" s="46"/>
      <c r="C1696" s="47" t="s">
        <v>846</v>
      </c>
      <c r="D1696" s="53"/>
      <c r="E1696" s="54">
        <v>8350</v>
      </c>
      <c r="F1696" s="54">
        <f t="shared" ref="F1696:L1696" si="1288">F1697</f>
        <v>8000</v>
      </c>
      <c r="G1696" s="54">
        <f t="shared" si="1288"/>
        <v>0</v>
      </c>
      <c r="H1696" s="54">
        <f t="shared" si="1288"/>
        <v>8000</v>
      </c>
      <c r="I1696" s="54">
        <f t="shared" si="1288"/>
        <v>0</v>
      </c>
      <c r="J1696" s="54">
        <f t="shared" si="1288"/>
        <v>8000</v>
      </c>
      <c r="K1696" s="54">
        <f t="shared" si="1288"/>
        <v>5809</v>
      </c>
      <c r="L1696" s="54">
        <f t="shared" si="1288"/>
        <v>2000</v>
      </c>
      <c r="M1696" s="335">
        <f t="shared" si="1276"/>
        <v>-0.75</v>
      </c>
      <c r="N1696" s="329">
        <f t="shared" si="1272"/>
        <v>-6000</v>
      </c>
    </row>
    <row r="1697" spans="1:14" ht="14.1" customHeight="1">
      <c r="A1697" s="203"/>
      <c r="B1697" s="204" t="s">
        <v>847</v>
      </c>
      <c r="C1697" s="205" t="s">
        <v>848</v>
      </c>
      <c r="D1697" s="206"/>
      <c r="E1697" s="140">
        <v>8350</v>
      </c>
      <c r="F1697" s="141">
        <v>8000</v>
      </c>
      <c r="G1697" s="141"/>
      <c r="H1697" s="189">
        <f>+F1697+G1697</f>
        <v>8000</v>
      </c>
      <c r="I1697" s="141"/>
      <c r="J1697" s="189">
        <f>+H1697+I1697</f>
        <v>8000</v>
      </c>
      <c r="K1697" s="189">
        <v>5809</v>
      </c>
      <c r="L1697" s="141">
        <v>2000</v>
      </c>
      <c r="M1697" s="335">
        <f t="shared" si="1276"/>
        <v>-0.75</v>
      </c>
      <c r="N1697" s="329">
        <f t="shared" si="1272"/>
        <v>-6000</v>
      </c>
    </row>
    <row r="1698" spans="1:14" s="7" customFormat="1" ht="14.1" customHeight="1">
      <c r="A1698" s="45" t="s">
        <v>849</v>
      </c>
      <c r="B1698" s="46">
        <v>55</v>
      </c>
      <c r="C1698" s="47" t="s">
        <v>850</v>
      </c>
      <c r="D1698" s="53">
        <v>3000</v>
      </c>
      <c r="E1698" s="54">
        <v>2000</v>
      </c>
      <c r="F1698" s="54">
        <f t="shared" ref="F1698:L1698" si="1289">+F1699</f>
        <v>3000</v>
      </c>
      <c r="G1698" s="54">
        <f t="shared" si="1289"/>
        <v>0</v>
      </c>
      <c r="H1698" s="54">
        <f t="shared" si="1289"/>
        <v>3000</v>
      </c>
      <c r="I1698" s="54">
        <f t="shared" si="1289"/>
        <v>0</v>
      </c>
      <c r="J1698" s="54">
        <f t="shared" si="1289"/>
        <v>3000</v>
      </c>
      <c r="K1698" s="54">
        <f t="shared" si="1289"/>
        <v>408</v>
      </c>
      <c r="L1698" s="54">
        <f t="shared" si="1289"/>
        <v>2000</v>
      </c>
      <c r="M1698" s="335">
        <f t="shared" si="1276"/>
        <v>-0.33333333333333331</v>
      </c>
      <c r="N1698" s="329">
        <f t="shared" si="1272"/>
        <v>-1000</v>
      </c>
    </row>
    <row r="1699" spans="1:14" s="13" customFormat="1" ht="14.1" customHeight="1">
      <c r="A1699" s="43"/>
      <c r="B1699" s="43">
        <v>5526</v>
      </c>
      <c r="C1699" s="43" t="s">
        <v>851</v>
      </c>
      <c r="D1699" s="43"/>
      <c r="E1699" s="172">
        <v>2000</v>
      </c>
      <c r="F1699" s="172">
        <v>3000</v>
      </c>
      <c r="G1699" s="172"/>
      <c r="H1699" s="172">
        <f>+F1699+G1699</f>
        <v>3000</v>
      </c>
      <c r="I1699" s="172"/>
      <c r="J1699" s="172">
        <f>+H1699+I1699</f>
        <v>3000</v>
      </c>
      <c r="K1699" s="172">
        <v>408</v>
      </c>
      <c r="L1699" s="172">
        <v>2000</v>
      </c>
      <c r="M1699" s="335">
        <f t="shared" si="1276"/>
        <v>-0.33333333333333331</v>
      </c>
      <c r="N1699" s="329">
        <f t="shared" si="1272"/>
        <v>-1000</v>
      </c>
    </row>
    <row r="1700" spans="1:14" s="13" customFormat="1" ht="14.1" customHeight="1">
      <c r="A1700" s="45" t="s">
        <v>852</v>
      </c>
      <c r="B1700" s="250" t="s">
        <v>675</v>
      </c>
      <c r="C1700" s="47" t="s">
        <v>853</v>
      </c>
      <c r="D1700" s="53">
        <v>90441</v>
      </c>
      <c r="E1700" s="54">
        <v>227801</v>
      </c>
      <c r="F1700" s="54">
        <f t="shared" ref="F1700:L1700" si="1290">+F1701</f>
        <v>150000</v>
      </c>
      <c r="G1700" s="54">
        <f t="shared" si="1290"/>
        <v>39063</v>
      </c>
      <c r="H1700" s="54">
        <f t="shared" si="1290"/>
        <v>189063</v>
      </c>
      <c r="I1700" s="54">
        <f t="shared" si="1290"/>
        <v>-14372</v>
      </c>
      <c r="J1700" s="54">
        <f t="shared" si="1290"/>
        <v>174691</v>
      </c>
      <c r="K1700" s="54">
        <f t="shared" si="1290"/>
        <v>133367</v>
      </c>
      <c r="L1700" s="54">
        <f t="shared" si="1290"/>
        <v>175000</v>
      </c>
      <c r="M1700" s="335">
        <f t="shared" si="1276"/>
        <v>1.76883754744091E-3</v>
      </c>
      <c r="N1700" s="329">
        <f t="shared" si="1272"/>
        <v>309</v>
      </c>
    </row>
    <row r="1701" spans="1:14" s="13" customFormat="1" ht="14.1" customHeight="1">
      <c r="A1701" s="32" t="s">
        <v>854</v>
      </c>
      <c r="B1701" s="33">
        <v>4131</v>
      </c>
      <c r="C1701" s="34" t="s">
        <v>855</v>
      </c>
      <c r="D1701" s="52">
        <v>90441</v>
      </c>
      <c r="E1701" s="140">
        <v>227801</v>
      </c>
      <c r="F1701" s="140">
        <v>150000</v>
      </c>
      <c r="G1701" s="256">
        <f>14618+24445</f>
        <v>39063</v>
      </c>
      <c r="H1701" s="140">
        <f t="shared" ref="H1701" si="1291">+G1701+F1701</f>
        <v>189063</v>
      </c>
      <c r="I1701" s="140">
        <v>-14372</v>
      </c>
      <c r="J1701" s="140">
        <f t="shared" ref="J1701" si="1292">+I1701+H1701</f>
        <v>174691</v>
      </c>
      <c r="K1701" s="140">
        <v>133367</v>
      </c>
      <c r="L1701" s="140">
        <v>175000</v>
      </c>
      <c r="M1701" s="335">
        <f t="shared" si="1276"/>
        <v>1.76883754744091E-3</v>
      </c>
      <c r="N1701" s="329">
        <f t="shared" si="1272"/>
        <v>309</v>
      </c>
    </row>
    <row r="1702" spans="1:14" s="13" customFormat="1" ht="14.1" customHeight="1">
      <c r="A1702" s="45" t="s">
        <v>856</v>
      </c>
      <c r="B1702" s="46"/>
      <c r="C1702" s="47" t="s">
        <v>857</v>
      </c>
      <c r="D1702" s="53"/>
      <c r="E1702" s="54">
        <v>12363</v>
      </c>
      <c r="F1702" s="54">
        <f t="shared" ref="F1702:J1702" si="1293">F1703+F1704</f>
        <v>5000</v>
      </c>
      <c r="G1702" s="54">
        <f t="shared" si="1293"/>
        <v>0</v>
      </c>
      <c r="H1702" s="54">
        <f t="shared" si="1293"/>
        <v>5000</v>
      </c>
      <c r="I1702" s="54">
        <f t="shared" si="1293"/>
        <v>0</v>
      </c>
      <c r="J1702" s="54">
        <f t="shared" si="1293"/>
        <v>5000</v>
      </c>
      <c r="K1702" s="54">
        <f t="shared" ref="K1702:L1702" si="1294">K1703+K1704</f>
        <v>25</v>
      </c>
      <c r="L1702" s="54">
        <f t="shared" si="1294"/>
        <v>0</v>
      </c>
      <c r="M1702" s="335">
        <f t="shared" si="1276"/>
        <v>-1</v>
      </c>
      <c r="N1702" s="329">
        <f t="shared" si="1272"/>
        <v>-5000</v>
      </c>
    </row>
    <row r="1703" spans="1:14" s="13" customFormat="1" ht="14.1" customHeight="1">
      <c r="A1703" s="203"/>
      <c r="B1703" s="204" t="s">
        <v>858</v>
      </c>
      <c r="C1703" s="205" t="s">
        <v>848</v>
      </c>
      <c r="D1703" s="206"/>
      <c r="E1703" s="140">
        <v>0</v>
      </c>
      <c r="F1703" s="141">
        <v>500</v>
      </c>
      <c r="G1703" s="141"/>
      <c r="H1703" s="241">
        <f>+F1703+G1703</f>
        <v>500</v>
      </c>
      <c r="I1703" s="141"/>
      <c r="J1703" s="241">
        <f>+H1703+I1703</f>
        <v>500</v>
      </c>
      <c r="K1703" s="241"/>
      <c r="L1703" s="141"/>
      <c r="M1703" s="335">
        <f t="shared" si="1276"/>
        <v>-1</v>
      </c>
      <c r="N1703" s="329">
        <f t="shared" si="1272"/>
        <v>-500</v>
      </c>
    </row>
    <row r="1704" spans="1:14" s="13" customFormat="1" ht="12.6">
      <c r="A1704" s="34"/>
      <c r="B1704" s="33">
        <v>55</v>
      </c>
      <c r="C1704" s="34" t="s">
        <v>851</v>
      </c>
      <c r="D1704" s="34"/>
      <c r="E1704" s="207">
        <v>12363</v>
      </c>
      <c r="F1704" s="207">
        <v>4500</v>
      </c>
      <c r="G1704" s="207"/>
      <c r="H1704" s="207">
        <f>H1705+H1706+H1707+H1708+H1709</f>
        <v>4500</v>
      </c>
      <c r="I1704" s="207">
        <f>I1705+I1706+I1707+I1708+I1709</f>
        <v>0</v>
      </c>
      <c r="J1704" s="207">
        <f>J1705+J1706+J1707+J1708+J1709</f>
        <v>4500</v>
      </c>
      <c r="K1704" s="207">
        <f t="shared" ref="K1704:L1704" si="1295">K1705+K1706+K1707+K1708+K1709</f>
        <v>25</v>
      </c>
      <c r="L1704" s="207">
        <f t="shared" si="1295"/>
        <v>0</v>
      </c>
      <c r="M1704" s="335">
        <f t="shared" si="1276"/>
        <v>-1</v>
      </c>
      <c r="N1704" s="329">
        <f t="shared" si="1272"/>
        <v>-4500</v>
      </c>
    </row>
    <row r="1705" spans="1:14" s="13" customFormat="1" ht="12.6">
      <c r="A1705" s="34"/>
      <c r="B1705" s="33">
        <v>5500</v>
      </c>
      <c r="C1705" s="34" t="s">
        <v>227</v>
      </c>
      <c r="D1705" s="34"/>
      <c r="E1705" s="34"/>
      <c r="F1705" s="34"/>
      <c r="G1705" s="34"/>
      <c r="H1705" s="34">
        <v>100</v>
      </c>
      <c r="I1705" s="34"/>
      <c r="J1705" s="17">
        <f t="shared" ref="J1705:J1709" si="1296">+I1705+H1705</f>
        <v>100</v>
      </c>
      <c r="K1705" s="34">
        <v>25</v>
      </c>
      <c r="L1705" s="34"/>
      <c r="M1705" s="335">
        <f t="shared" si="1276"/>
        <v>-1</v>
      </c>
      <c r="N1705" s="329">
        <f t="shared" si="1272"/>
        <v>-100</v>
      </c>
    </row>
    <row r="1706" spans="1:14" s="13" customFormat="1" ht="12.6">
      <c r="A1706" s="34"/>
      <c r="B1706" s="33">
        <v>5511</v>
      </c>
      <c r="C1706" s="34" t="s">
        <v>219</v>
      </c>
      <c r="D1706" s="34"/>
      <c r="E1706" s="34"/>
      <c r="F1706" s="34"/>
      <c r="G1706" s="34"/>
      <c r="H1706" s="34">
        <v>400</v>
      </c>
      <c r="I1706" s="34"/>
      <c r="J1706" s="17">
        <f t="shared" si="1296"/>
        <v>400</v>
      </c>
      <c r="K1706" s="34"/>
      <c r="L1706" s="34"/>
      <c r="M1706" s="335">
        <f t="shared" si="1276"/>
        <v>-1</v>
      </c>
      <c r="N1706" s="329">
        <f t="shared" si="1272"/>
        <v>-400</v>
      </c>
    </row>
    <row r="1707" spans="1:14" s="13" customFormat="1" ht="12.6">
      <c r="A1707" s="34"/>
      <c r="B1707" s="33">
        <v>5515</v>
      </c>
      <c r="C1707" s="34" t="s">
        <v>257</v>
      </c>
      <c r="D1707" s="34"/>
      <c r="E1707" s="34"/>
      <c r="F1707" s="34"/>
      <c r="G1707" s="34"/>
      <c r="H1707" s="34">
        <v>1500</v>
      </c>
      <c r="I1707" s="34"/>
      <c r="J1707" s="17">
        <f t="shared" si="1296"/>
        <v>1500</v>
      </c>
      <c r="K1707" s="34"/>
      <c r="L1707" s="34"/>
      <c r="M1707" s="335">
        <f t="shared" si="1276"/>
        <v>-1</v>
      </c>
      <c r="N1707" s="329">
        <f t="shared" si="1272"/>
        <v>-1500</v>
      </c>
    </row>
    <row r="1708" spans="1:14" s="13" customFormat="1" ht="12.6">
      <c r="A1708" s="34"/>
      <c r="B1708" s="33">
        <v>5521</v>
      </c>
      <c r="C1708" s="34" t="s">
        <v>418</v>
      </c>
      <c r="D1708" s="34"/>
      <c r="E1708" s="34"/>
      <c r="F1708" s="34"/>
      <c r="G1708" s="34"/>
      <c r="H1708" s="34">
        <v>1500</v>
      </c>
      <c r="I1708" s="34"/>
      <c r="J1708" s="17">
        <f t="shared" si="1296"/>
        <v>1500</v>
      </c>
      <c r="K1708" s="34"/>
      <c r="L1708" s="34"/>
      <c r="M1708" s="335">
        <f t="shared" si="1276"/>
        <v>-1</v>
      </c>
      <c r="N1708" s="329">
        <f t="shared" si="1272"/>
        <v>-1500</v>
      </c>
    </row>
    <row r="1709" spans="1:14" s="13" customFormat="1" ht="12.6">
      <c r="A1709" s="34"/>
      <c r="B1709" s="33">
        <v>5540</v>
      </c>
      <c r="C1709" s="34" t="s">
        <v>348</v>
      </c>
      <c r="D1709" s="34"/>
      <c r="E1709" s="34"/>
      <c r="F1709" s="34"/>
      <c r="G1709" s="34"/>
      <c r="H1709" s="34">
        <v>1000</v>
      </c>
      <c r="I1709" s="34"/>
      <c r="J1709" s="17">
        <f t="shared" si="1296"/>
        <v>1000</v>
      </c>
      <c r="K1709" s="34"/>
      <c r="L1709" s="34"/>
      <c r="M1709" s="335">
        <f t="shared" si="1276"/>
        <v>-1</v>
      </c>
      <c r="N1709" s="329">
        <f t="shared" si="1272"/>
        <v>-1000</v>
      </c>
    </row>
    <row r="1710" spans="1:14" ht="12.6">
      <c r="A1710" s="45" t="s">
        <v>859</v>
      </c>
      <c r="B1710" s="46"/>
      <c r="C1710" s="47" t="s">
        <v>860</v>
      </c>
      <c r="D1710" s="53">
        <v>305187</v>
      </c>
      <c r="E1710" s="50"/>
      <c r="F1710" s="50"/>
      <c r="G1710" s="50"/>
      <c r="H1710" s="50"/>
      <c r="I1710" s="50"/>
      <c r="J1710" s="50"/>
      <c r="K1710" s="50"/>
      <c r="L1710" s="50"/>
      <c r="M1710" s="335" t="e">
        <f t="shared" si="1276"/>
        <v>#DIV/0!</v>
      </c>
      <c r="N1710" s="329">
        <f t="shared" si="1272"/>
        <v>0</v>
      </c>
    </row>
    <row r="1711" spans="1:14" s="2" customFormat="1" ht="14.1" customHeight="1">
      <c r="A1711" s="45" t="s">
        <v>861</v>
      </c>
      <c r="B1711" s="46"/>
      <c r="C1711" s="47" t="s">
        <v>862</v>
      </c>
      <c r="D1711" s="53">
        <v>262447</v>
      </c>
      <c r="E1711" s="50">
        <v>328023</v>
      </c>
      <c r="F1711" s="50">
        <f>+F1712+F1713</f>
        <v>421297</v>
      </c>
      <c r="G1711" s="50">
        <f t="shared" ref="G1711:H1711" si="1297">+G1712+G1713</f>
        <v>0</v>
      </c>
      <c r="H1711" s="50">
        <f t="shared" si="1297"/>
        <v>421297</v>
      </c>
      <c r="I1711" s="50">
        <f t="shared" ref="I1711:J1711" si="1298">+I1712+I1713</f>
        <v>-55397</v>
      </c>
      <c r="J1711" s="50">
        <f t="shared" si="1298"/>
        <v>365900</v>
      </c>
      <c r="K1711" s="50">
        <f t="shared" ref="K1711" si="1299">+K1712+K1713</f>
        <v>285217</v>
      </c>
      <c r="L1711" s="50">
        <f>+L1712+L1713</f>
        <v>391500</v>
      </c>
      <c r="M1711" s="335">
        <f t="shared" si="1276"/>
        <v>6.9964471166985509E-2</v>
      </c>
      <c r="N1711" s="329">
        <f t="shared" si="1272"/>
        <v>25600</v>
      </c>
    </row>
    <row r="1712" spans="1:14" ht="14.1" customHeight="1">
      <c r="A1712" s="32"/>
      <c r="B1712" s="33">
        <v>50</v>
      </c>
      <c r="C1712" s="34" t="s">
        <v>211</v>
      </c>
      <c r="D1712" s="52">
        <v>219447</v>
      </c>
      <c r="E1712" s="143">
        <v>280023</v>
      </c>
      <c r="F1712" s="226">
        <v>372997</v>
      </c>
      <c r="G1712" s="143"/>
      <c r="H1712" s="143">
        <f t="shared" ref="H1712" si="1300">+G1712+F1712</f>
        <v>372997</v>
      </c>
      <c r="I1712" s="143">
        <v>-55997</v>
      </c>
      <c r="J1712" s="143">
        <f t="shared" ref="J1712" si="1301">+I1712+H1712</f>
        <v>317000</v>
      </c>
      <c r="K1712" s="143">
        <v>240902</v>
      </c>
      <c r="L1712" s="225">
        <v>342500</v>
      </c>
      <c r="M1712" s="335">
        <f>(L1712-J1712)/J1712</f>
        <v>8.0441640378548895E-2</v>
      </c>
      <c r="N1712" s="329">
        <f t="shared" si="1272"/>
        <v>25500</v>
      </c>
    </row>
    <row r="1713" spans="1:14" ht="14.1" customHeight="1">
      <c r="A1713" s="32"/>
      <c r="B1713" s="33">
        <v>55</v>
      </c>
      <c r="C1713" s="34" t="s">
        <v>863</v>
      </c>
      <c r="D1713" s="52">
        <v>43000</v>
      </c>
      <c r="E1713" s="138">
        <v>48000</v>
      </c>
      <c r="F1713" s="138">
        <f t="shared" ref="F1713:L1713" si="1302">SUM(F1714:F1724)</f>
        <v>48300</v>
      </c>
      <c r="G1713" s="138">
        <f t="shared" si="1302"/>
        <v>0</v>
      </c>
      <c r="H1713" s="138">
        <f t="shared" si="1302"/>
        <v>48300</v>
      </c>
      <c r="I1713" s="138">
        <f t="shared" si="1302"/>
        <v>600</v>
      </c>
      <c r="J1713" s="138">
        <f t="shared" si="1302"/>
        <v>48900</v>
      </c>
      <c r="K1713" s="138">
        <f t="shared" si="1302"/>
        <v>44315</v>
      </c>
      <c r="L1713" s="137">
        <f t="shared" si="1302"/>
        <v>49000</v>
      </c>
      <c r="M1713" s="335">
        <f t="shared" si="1276"/>
        <v>2.0449897750511249E-3</v>
      </c>
      <c r="N1713" s="329">
        <f t="shared" si="1272"/>
        <v>100</v>
      </c>
    </row>
    <row r="1714" spans="1:14" ht="14.1" customHeight="1">
      <c r="A1714" s="32"/>
      <c r="B1714" s="33">
        <v>5500</v>
      </c>
      <c r="C1714" s="34" t="s">
        <v>227</v>
      </c>
      <c r="D1714" s="52">
        <v>2000</v>
      </c>
      <c r="E1714" s="17">
        <v>1896</v>
      </c>
      <c r="F1714" s="226">
        <v>2000</v>
      </c>
      <c r="G1714" s="17"/>
      <c r="H1714" s="17">
        <f t="shared" ref="H1714:H1724" si="1303">+G1714+F1714</f>
        <v>2000</v>
      </c>
      <c r="I1714" s="17"/>
      <c r="J1714" s="17">
        <f t="shared" ref="J1714:J1724" si="1304">+I1714+H1714</f>
        <v>2000</v>
      </c>
      <c r="K1714" s="17">
        <v>2108</v>
      </c>
      <c r="L1714" s="226">
        <v>3200</v>
      </c>
      <c r="M1714" s="335">
        <f t="shared" si="1276"/>
        <v>0.6</v>
      </c>
      <c r="N1714" s="329">
        <f t="shared" si="1272"/>
        <v>1200</v>
      </c>
    </row>
    <row r="1715" spans="1:14" ht="14.1" customHeight="1">
      <c r="A1715" s="32"/>
      <c r="B1715" s="33">
        <v>5503</v>
      </c>
      <c r="C1715" s="34" t="s">
        <v>216</v>
      </c>
      <c r="D1715" s="52"/>
      <c r="E1715" s="17">
        <v>104</v>
      </c>
      <c r="F1715" s="226">
        <v>800</v>
      </c>
      <c r="G1715" s="17"/>
      <c r="H1715" s="17">
        <f t="shared" si="1303"/>
        <v>800</v>
      </c>
      <c r="I1715" s="17"/>
      <c r="J1715" s="17">
        <f t="shared" si="1304"/>
        <v>800</v>
      </c>
      <c r="K1715" s="17"/>
      <c r="L1715" s="226"/>
      <c r="M1715" s="335">
        <f t="shared" si="1276"/>
        <v>-1</v>
      </c>
      <c r="N1715" s="329">
        <f t="shared" si="1272"/>
        <v>-800</v>
      </c>
    </row>
    <row r="1716" spans="1:14" ht="14.1" customHeight="1">
      <c r="A1716" s="32"/>
      <c r="B1716" s="33">
        <v>5504</v>
      </c>
      <c r="C1716" s="34" t="s">
        <v>230</v>
      </c>
      <c r="D1716" s="52">
        <v>4000</v>
      </c>
      <c r="E1716" s="17">
        <v>2000</v>
      </c>
      <c r="F1716" s="226">
        <v>3900</v>
      </c>
      <c r="G1716" s="17"/>
      <c r="H1716" s="17">
        <f t="shared" si="1303"/>
        <v>3900</v>
      </c>
      <c r="I1716" s="17"/>
      <c r="J1716" s="17">
        <f t="shared" si="1304"/>
        <v>3900</v>
      </c>
      <c r="K1716" s="17">
        <v>1847</v>
      </c>
      <c r="L1716" s="226">
        <f>12*300</f>
        <v>3600</v>
      </c>
      <c r="M1716" s="335">
        <f t="shared" si="1276"/>
        <v>-7.6923076923076927E-2</v>
      </c>
      <c r="N1716" s="329">
        <f t="shared" si="1272"/>
        <v>-300</v>
      </c>
    </row>
    <row r="1717" spans="1:14" ht="14.1" customHeight="1">
      <c r="A1717" s="32"/>
      <c r="B1717" s="33">
        <v>5511</v>
      </c>
      <c r="C1717" s="34" t="s">
        <v>219</v>
      </c>
      <c r="D1717" s="52">
        <v>0</v>
      </c>
      <c r="E1717" s="17">
        <v>30</v>
      </c>
      <c r="F1717" s="226">
        <v>100</v>
      </c>
      <c r="G1717" s="17"/>
      <c r="H1717" s="17">
        <f t="shared" si="1303"/>
        <v>100</v>
      </c>
      <c r="I1717" s="17"/>
      <c r="J1717" s="17">
        <f t="shared" si="1304"/>
        <v>100</v>
      </c>
      <c r="K1717" s="17">
        <v>4</v>
      </c>
      <c r="L1717" s="226">
        <v>0</v>
      </c>
      <c r="M1717" s="335">
        <f t="shared" si="1276"/>
        <v>-1</v>
      </c>
      <c r="N1717" s="329">
        <f t="shared" si="1272"/>
        <v>-100</v>
      </c>
    </row>
    <row r="1718" spans="1:14" ht="14.1" customHeight="1">
      <c r="A1718" s="32"/>
      <c r="B1718" s="33">
        <v>5513</v>
      </c>
      <c r="C1718" s="34" t="s">
        <v>671</v>
      </c>
      <c r="D1718" s="52">
        <v>25000</v>
      </c>
      <c r="E1718" s="17">
        <v>30000</v>
      </c>
      <c r="F1718" s="226">
        <v>30000</v>
      </c>
      <c r="G1718" s="17"/>
      <c r="H1718" s="17">
        <f t="shared" si="1303"/>
        <v>30000</v>
      </c>
      <c r="I1718" s="17"/>
      <c r="J1718" s="17">
        <f t="shared" si="1304"/>
        <v>30000</v>
      </c>
      <c r="K1718" s="17">
        <v>23700</v>
      </c>
      <c r="L1718" s="226">
        <v>30000</v>
      </c>
      <c r="M1718" s="335">
        <f t="shared" si="1276"/>
        <v>0</v>
      </c>
      <c r="N1718" s="329">
        <f t="shared" si="1272"/>
        <v>0</v>
      </c>
    </row>
    <row r="1719" spans="1:14" ht="14.1" customHeight="1">
      <c r="A1719" s="32"/>
      <c r="B1719" s="33">
        <v>5514</v>
      </c>
      <c r="C1719" s="34" t="s">
        <v>221</v>
      </c>
      <c r="D1719" s="52">
        <v>3000</v>
      </c>
      <c r="E1719" s="17">
        <v>3200</v>
      </c>
      <c r="F1719" s="226">
        <v>2000</v>
      </c>
      <c r="G1719" s="17"/>
      <c r="H1719" s="17">
        <f t="shared" si="1303"/>
        <v>2000</v>
      </c>
      <c r="I1719" s="17">
        <v>2500</v>
      </c>
      <c r="J1719" s="17">
        <f t="shared" si="1304"/>
        <v>4500</v>
      </c>
      <c r="K1719" s="17">
        <v>5448</v>
      </c>
      <c r="L1719" s="226">
        <f>2700+2000</f>
        <v>4700</v>
      </c>
      <c r="M1719" s="335">
        <f t="shared" si="1276"/>
        <v>4.4444444444444446E-2</v>
      </c>
      <c r="N1719" s="329">
        <f t="shared" si="1272"/>
        <v>200</v>
      </c>
    </row>
    <row r="1720" spans="1:14" ht="14.1" customHeight="1">
      <c r="A1720" s="32"/>
      <c r="B1720" s="33">
        <v>5515</v>
      </c>
      <c r="C1720" s="34" t="s">
        <v>257</v>
      </c>
      <c r="D1720" s="52">
        <v>8000</v>
      </c>
      <c r="E1720" s="17">
        <v>2000</v>
      </c>
      <c r="F1720" s="226">
        <v>2000</v>
      </c>
      <c r="G1720" s="17"/>
      <c r="H1720" s="17">
        <f t="shared" si="1303"/>
        <v>2000</v>
      </c>
      <c r="I1720" s="17">
        <v>-1000</v>
      </c>
      <c r="J1720" s="17">
        <f t="shared" si="1304"/>
        <v>1000</v>
      </c>
      <c r="K1720" s="17">
        <v>2480</v>
      </c>
      <c r="L1720" s="226">
        <v>1000</v>
      </c>
      <c r="M1720" s="335">
        <f t="shared" si="1276"/>
        <v>0</v>
      </c>
      <c r="N1720" s="329">
        <f t="shared" si="1272"/>
        <v>0</v>
      </c>
    </row>
    <row r="1721" spans="1:14" ht="14.1" customHeight="1">
      <c r="A1721" s="32"/>
      <c r="B1721" s="33">
        <v>5522</v>
      </c>
      <c r="C1721" s="34" t="s">
        <v>262</v>
      </c>
      <c r="D1721" s="52">
        <v>1000</v>
      </c>
      <c r="E1721" s="17">
        <v>7870</v>
      </c>
      <c r="F1721" s="226">
        <v>500</v>
      </c>
      <c r="G1721" s="17"/>
      <c r="H1721" s="17">
        <f t="shared" si="1303"/>
        <v>500</v>
      </c>
      <c r="I1721" s="17">
        <v>100</v>
      </c>
      <c r="J1721" s="17">
        <f t="shared" si="1304"/>
        <v>600</v>
      </c>
      <c r="K1721" s="17">
        <v>1275</v>
      </c>
      <c r="L1721" s="226">
        <v>500</v>
      </c>
      <c r="M1721" s="335">
        <f t="shared" si="1276"/>
        <v>-0.16666666666666666</v>
      </c>
      <c r="N1721" s="329">
        <f t="shared" si="1272"/>
        <v>-100</v>
      </c>
    </row>
    <row r="1722" spans="1:14" ht="14.1" customHeight="1">
      <c r="A1722" s="32"/>
      <c r="B1722" s="33">
        <v>5525</v>
      </c>
      <c r="C1722" s="40" t="s">
        <v>264</v>
      </c>
      <c r="D1722" s="52">
        <v>0</v>
      </c>
      <c r="E1722" s="17">
        <v>0</v>
      </c>
      <c r="F1722" s="226">
        <v>0</v>
      </c>
      <c r="G1722" s="17"/>
      <c r="H1722" s="17">
        <f t="shared" si="1303"/>
        <v>0</v>
      </c>
      <c r="I1722" s="17"/>
      <c r="J1722" s="17">
        <f t="shared" si="1304"/>
        <v>0</v>
      </c>
      <c r="K1722" s="17">
        <v>59</v>
      </c>
      <c r="L1722" s="226">
        <v>0</v>
      </c>
      <c r="M1722" s="335" t="e">
        <f t="shared" si="1276"/>
        <v>#DIV/0!</v>
      </c>
      <c r="N1722" s="329">
        <f t="shared" si="1272"/>
        <v>0</v>
      </c>
    </row>
    <row r="1723" spans="1:14" ht="14.1" customHeight="1">
      <c r="A1723" s="32"/>
      <c r="B1723" s="33">
        <v>5526</v>
      </c>
      <c r="C1723" s="40" t="s">
        <v>864</v>
      </c>
      <c r="D1723" s="52">
        <v>0</v>
      </c>
      <c r="E1723" s="17">
        <v>0</v>
      </c>
      <c r="F1723" s="226">
        <v>0</v>
      </c>
      <c r="G1723" s="17"/>
      <c r="H1723" s="17">
        <f t="shared" si="1303"/>
        <v>0</v>
      </c>
      <c r="I1723" s="17"/>
      <c r="J1723" s="17">
        <f t="shared" si="1304"/>
        <v>0</v>
      </c>
      <c r="K1723" s="17">
        <v>247</v>
      </c>
      <c r="L1723" s="226">
        <v>0</v>
      </c>
      <c r="M1723" s="335" t="e">
        <f t="shared" si="1276"/>
        <v>#DIV/0!</v>
      </c>
      <c r="N1723" s="329">
        <f t="shared" si="1272"/>
        <v>0</v>
      </c>
    </row>
    <row r="1724" spans="1:14" ht="14.1" customHeight="1">
      <c r="A1724" s="32"/>
      <c r="B1724" s="33">
        <v>5540</v>
      </c>
      <c r="C1724" s="34" t="s">
        <v>348</v>
      </c>
      <c r="D1724" s="52">
        <v>0</v>
      </c>
      <c r="E1724" s="17">
        <v>900</v>
      </c>
      <c r="F1724" s="226">
        <v>7000</v>
      </c>
      <c r="G1724" s="17"/>
      <c r="H1724" s="17">
        <f t="shared" si="1303"/>
        <v>7000</v>
      </c>
      <c r="I1724" s="17">
        <v>-1000</v>
      </c>
      <c r="J1724" s="17">
        <f t="shared" si="1304"/>
        <v>6000</v>
      </c>
      <c r="K1724" s="17">
        <v>7147</v>
      </c>
      <c r="L1724" s="226">
        <v>6000</v>
      </c>
      <c r="M1724" s="335">
        <f t="shared" si="1276"/>
        <v>0</v>
      </c>
      <c r="N1724" s="329">
        <f t="shared" si="1272"/>
        <v>0</v>
      </c>
    </row>
    <row r="1725" spans="1:14" ht="14.1" customHeight="1">
      <c r="A1725" s="45" t="s">
        <v>865</v>
      </c>
      <c r="B1725" s="55">
        <v>4138</v>
      </c>
      <c r="C1725" s="47" t="s">
        <v>866</v>
      </c>
      <c r="D1725" s="51">
        <v>30000</v>
      </c>
      <c r="E1725" s="54">
        <v>5000</v>
      </c>
      <c r="F1725" s="54">
        <f t="shared" ref="F1725:L1725" si="1305">F1726</f>
        <v>15000</v>
      </c>
      <c r="G1725" s="54">
        <f t="shared" si="1305"/>
        <v>-5000</v>
      </c>
      <c r="H1725" s="54">
        <f t="shared" si="1305"/>
        <v>10000</v>
      </c>
      <c r="I1725" s="54">
        <f t="shared" si="1305"/>
        <v>0</v>
      </c>
      <c r="J1725" s="54">
        <f t="shared" si="1305"/>
        <v>10000</v>
      </c>
      <c r="K1725" s="54">
        <f t="shared" si="1305"/>
        <v>3000</v>
      </c>
      <c r="L1725" s="54">
        <f t="shared" si="1305"/>
        <v>10000</v>
      </c>
      <c r="M1725" s="335">
        <f t="shared" si="1276"/>
        <v>0</v>
      </c>
      <c r="N1725" s="329">
        <f t="shared" si="1272"/>
        <v>0</v>
      </c>
    </row>
    <row r="1726" spans="1:14" ht="14.1" customHeight="1">
      <c r="A1726" s="173"/>
      <c r="B1726" s="33">
        <v>4138</v>
      </c>
      <c r="C1726" s="217" t="s">
        <v>867</v>
      </c>
      <c r="D1726" s="199"/>
      <c r="E1726" s="218">
        <v>5000</v>
      </c>
      <c r="F1726" s="218">
        <v>15000</v>
      </c>
      <c r="G1726" s="218">
        <v>-5000</v>
      </c>
      <c r="H1726" s="241">
        <f>+F1726+G1726</f>
        <v>10000</v>
      </c>
      <c r="I1726" s="218"/>
      <c r="J1726" s="241">
        <f>+H1726+I1726</f>
        <v>10000</v>
      </c>
      <c r="K1726" s="241">
        <v>3000</v>
      </c>
      <c r="L1726" s="218">
        <v>10000</v>
      </c>
      <c r="M1726" s="335">
        <f t="shared" si="1276"/>
        <v>0</v>
      </c>
      <c r="N1726" s="329">
        <f t="shared" si="1272"/>
        <v>0</v>
      </c>
    </row>
    <row r="1727" spans="1:14" ht="14.1" customHeight="1">
      <c r="A1727" s="45" t="s">
        <v>868</v>
      </c>
      <c r="B1727" s="55"/>
      <c r="C1727" s="47" t="s">
        <v>869</v>
      </c>
      <c r="D1727" s="51">
        <v>12740</v>
      </c>
      <c r="E1727" s="54">
        <v>30000</v>
      </c>
      <c r="F1727" s="54">
        <f t="shared" ref="F1727:H1727" si="1306">F1728+F1729+F1730</f>
        <v>40250</v>
      </c>
      <c r="G1727" s="54">
        <f t="shared" si="1306"/>
        <v>0</v>
      </c>
      <c r="H1727" s="54">
        <f t="shared" si="1306"/>
        <v>40250</v>
      </c>
      <c r="I1727" s="54">
        <f t="shared" ref="I1727:J1727" si="1307">I1728+I1729+I1730</f>
        <v>-11700</v>
      </c>
      <c r="J1727" s="54">
        <f t="shared" si="1307"/>
        <v>28550</v>
      </c>
      <c r="K1727" s="54">
        <f t="shared" ref="K1727" si="1308">K1728+K1729+K1730</f>
        <v>23948</v>
      </c>
      <c r="L1727" s="54">
        <f>L1728+L1729+L1730</f>
        <v>27000</v>
      </c>
      <c r="M1727" s="335">
        <f t="shared" si="1276"/>
        <v>-5.4290718038528897E-2</v>
      </c>
      <c r="N1727" s="329">
        <f t="shared" si="1272"/>
        <v>-1550</v>
      </c>
    </row>
    <row r="1728" spans="1:14" ht="14.1" customHeight="1">
      <c r="A1728" s="32"/>
      <c r="B1728" s="33">
        <v>4138</v>
      </c>
      <c r="C1728" s="39" t="s">
        <v>870</v>
      </c>
      <c r="D1728" s="51"/>
      <c r="E1728" s="200">
        <v>13500</v>
      </c>
      <c r="F1728" s="140">
        <v>3250</v>
      </c>
      <c r="G1728" s="140"/>
      <c r="H1728" s="140">
        <f>+F1728+G1728</f>
        <v>3250</v>
      </c>
      <c r="I1728" s="140"/>
      <c r="J1728" s="140">
        <f>+H1728+I1728</f>
        <v>3250</v>
      </c>
      <c r="K1728" s="140"/>
      <c r="L1728" s="140">
        <f>1400+1600</f>
        <v>3000</v>
      </c>
      <c r="M1728" s="335">
        <f t="shared" si="1276"/>
        <v>-7.6923076923076927E-2</v>
      </c>
      <c r="N1728" s="329">
        <f t="shared" si="1272"/>
        <v>-250</v>
      </c>
    </row>
    <row r="1729" spans="1:14" ht="14.1" customHeight="1">
      <c r="A1729" s="32"/>
      <c r="B1729" s="38">
        <v>50</v>
      </c>
      <c r="C1729" s="39" t="s">
        <v>211</v>
      </c>
      <c r="D1729" s="51"/>
      <c r="E1729" s="197">
        <v>6500</v>
      </c>
      <c r="F1729" s="226">
        <v>22200</v>
      </c>
      <c r="G1729" s="143"/>
      <c r="H1729" s="143">
        <f>+F1729+G1729</f>
        <v>22200</v>
      </c>
      <c r="I1729" s="143">
        <v>-11700</v>
      </c>
      <c r="J1729" s="143">
        <f>+H1729+I1729</f>
        <v>10500</v>
      </c>
      <c r="K1729" s="143">
        <v>5998</v>
      </c>
      <c r="L1729" s="226">
        <v>6000</v>
      </c>
      <c r="M1729" s="335">
        <f t="shared" si="1276"/>
        <v>-0.42857142857142855</v>
      </c>
      <c r="N1729" s="329">
        <f t="shared" si="1272"/>
        <v>-4500</v>
      </c>
    </row>
    <row r="1730" spans="1:14" ht="14.1" customHeight="1">
      <c r="A1730" s="32"/>
      <c r="B1730" s="38">
        <v>55</v>
      </c>
      <c r="C1730" s="39" t="s">
        <v>774</v>
      </c>
      <c r="D1730" s="51"/>
      <c r="E1730" s="137">
        <v>10000</v>
      </c>
      <c r="F1730" s="137">
        <f>F1731+F1732</f>
        <v>14800</v>
      </c>
      <c r="G1730" s="137">
        <f t="shared" ref="G1730:H1730" si="1309">G1731+G1732</f>
        <v>0</v>
      </c>
      <c r="H1730" s="137">
        <f t="shared" si="1309"/>
        <v>14800</v>
      </c>
      <c r="I1730" s="137">
        <f t="shared" ref="I1730" si="1310">I1731+I1732</f>
        <v>0</v>
      </c>
      <c r="J1730" s="137">
        <f>SUM(J1731:J1734)</f>
        <v>14800</v>
      </c>
      <c r="K1730" s="137">
        <f>SUM(K1731:K1734)</f>
        <v>17950</v>
      </c>
      <c r="L1730" s="137">
        <f>SUM(L1731:L1734)</f>
        <v>18000</v>
      </c>
      <c r="M1730" s="335">
        <f t="shared" si="1276"/>
        <v>0.21621621621621623</v>
      </c>
      <c r="N1730" s="329">
        <f t="shared" si="1272"/>
        <v>3200</v>
      </c>
    </row>
    <row r="1731" spans="1:14" ht="14.1" customHeight="1">
      <c r="A1731" s="32"/>
      <c r="B1731" s="33">
        <v>5504</v>
      </c>
      <c r="C1731" s="34" t="s">
        <v>462</v>
      </c>
      <c r="D1731" s="51"/>
      <c r="E1731" s="149"/>
      <c r="F1731" s="236">
        <v>13100</v>
      </c>
      <c r="G1731" s="155"/>
      <c r="H1731" s="155">
        <f t="shared" ref="H1731:H1734" si="1311">+G1731+F1731</f>
        <v>13100</v>
      </c>
      <c r="I1731" s="155"/>
      <c r="J1731" s="155">
        <f t="shared" ref="J1731:J1734" si="1312">+I1731+H1731</f>
        <v>13100</v>
      </c>
      <c r="K1731" s="155">
        <v>6522</v>
      </c>
      <c r="L1731" s="221">
        <v>12000</v>
      </c>
      <c r="M1731" s="335">
        <f t="shared" si="1276"/>
        <v>-8.3969465648854963E-2</v>
      </c>
      <c r="N1731" s="329">
        <f t="shared" si="1272"/>
        <v>-1100</v>
      </c>
    </row>
    <row r="1732" spans="1:14" ht="14.1" customHeight="1">
      <c r="A1732" s="32"/>
      <c r="B1732" s="33">
        <v>5521</v>
      </c>
      <c r="C1732" s="34" t="s">
        <v>418</v>
      </c>
      <c r="D1732" s="51"/>
      <c r="E1732" s="149"/>
      <c r="F1732" s="236">
        <v>1700</v>
      </c>
      <c r="G1732" s="155"/>
      <c r="H1732" s="155">
        <f t="shared" si="1311"/>
        <v>1700</v>
      </c>
      <c r="I1732" s="155"/>
      <c r="J1732" s="155">
        <f t="shared" si="1312"/>
        <v>1700</v>
      </c>
      <c r="K1732" s="155">
        <v>570</v>
      </c>
      <c r="L1732" s="221">
        <v>2000</v>
      </c>
      <c r="M1732" s="335">
        <f t="shared" si="1276"/>
        <v>0.17647058823529413</v>
      </c>
      <c r="N1732" s="329">
        <f t="shared" si="1272"/>
        <v>300</v>
      </c>
    </row>
    <row r="1733" spans="1:14" ht="14.1" customHeight="1">
      <c r="A1733" s="32"/>
      <c r="B1733" s="33">
        <v>5525</v>
      </c>
      <c r="C1733" s="34" t="s">
        <v>264</v>
      </c>
      <c r="D1733" s="51"/>
      <c r="E1733" s="149"/>
      <c r="F1733" s="236"/>
      <c r="G1733" s="155"/>
      <c r="H1733" s="155"/>
      <c r="I1733" s="155"/>
      <c r="J1733" s="155"/>
      <c r="K1733" s="155">
        <v>739</v>
      </c>
      <c r="L1733" s="221"/>
      <c r="M1733" s="335"/>
      <c r="N1733" s="329">
        <f t="shared" si="1272"/>
        <v>0</v>
      </c>
    </row>
    <row r="1734" spans="1:14" ht="14.1" customHeight="1">
      <c r="A1734" s="32"/>
      <c r="B1734" s="33">
        <v>5526</v>
      </c>
      <c r="C1734" s="40" t="s">
        <v>864</v>
      </c>
      <c r="D1734" s="51"/>
      <c r="E1734" s="149"/>
      <c r="F1734" s="236"/>
      <c r="G1734" s="155"/>
      <c r="H1734" s="155">
        <f t="shared" si="1311"/>
        <v>0</v>
      </c>
      <c r="I1734" s="155"/>
      <c r="J1734" s="155">
        <f t="shared" si="1312"/>
        <v>0</v>
      </c>
      <c r="K1734" s="155">
        <v>10119</v>
      </c>
      <c r="L1734" s="221">
        <v>4000</v>
      </c>
      <c r="M1734" s="335" t="e">
        <f t="shared" si="1276"/>
        <v>#DIV/0!</v>
      </c>
      <c r="N1734" s="329">
        <f t="shared" ref="N1734:N1797" si="1313">L1734-J1734</f>
        <v>4000</v>
      </c>
    </row>
    <row r="1735" spans="1:14" s="2" customFormat="1" ht="14.1" customHeight="1">
      <c r="A1735" s="28" t="s">
        <v>190</v>
      </c>
      <c r="B1735" s="29"/>
      <c r="C1735" s="30" t="s">
        <v>871</v>
      </c>
      <c r="D1735" s="44">
        <v>18742432.399999999</v>
      </c>
      <c r="E1735" s="42">
        <v>21959131.240000002</v>
      </c>
      <c r="F1735" s="42">
        <f t="shared" ref="F1735:L1735" si="1314">+F121+F174+F182+F193+F277+F321+F383+F400+F1027+F1548</f>
        <v>25813688</v>
      </c>
      <c r="G1735" s="42">
        <f t="shared" si="1314"/>
        <v>203187.4</v>
      </c>
      <c r="H1735" s="42">
        <f t="shared" si="1314"/>
        <v>26013875.399999999</v>
      </c>
      <c r="I1735" s="42">
        <f t="shared" si="1314"/>
        <v>-1383</v>
      </c>
      <c r="J1735" s="42">
        <f t="shared" si="1314"/>
        <v>26012492.399999999</v>
      </c>
      <c r="K1735" s="42">
        <f t="shared" si="1314"/>
        <v>19145212.350000001</v>
      </c>
      <c r="L1735" s="42">
        <f t="shared" si="1314"/>
        <v>28219200</v>
      </c>
      <c r="M1735" s="335">
        <f t="shared" si="1276"/>
        <v>8.4832609119762842E-2</v>
      </c>
      <c r="N1735" s="329">
        <f t="shared" si="1313"/>
        <v>2206707.6000000015</v>
      </c>
    </row>
    <row r="1736" spans="1:14" s="2" customFormat="1" ht="14.1" customHeight="1">
      <c r="A1736" s="28"/>
      <c r="B1736" s="29"/>
      <c r="C1736" s="30" t="s">
        <v>197</v>
      </c>
      <c r="D1736" s="44">
        <v>2798398.6000000015</v>
      </c>
      <c r="E1736" s="42">
        <v>3030486.8599999994</v>
      </c>
      <c r="F1736" s="42">
        <f t="shared" ref="F1736:L1736" si="1315">+F105-F1735</f>
        <v>2995421</v>
      </c>
      <c r="G1736" s="42">
        <f t="shared" si="1315"/>
        <v>-146659</v>
      </c>
      <c r="H1736" s="42">
        <f t="shared" si="1315"/>
        <v>2851762</v>
      </c>
      <c r="I1736" s="42">
        <f t="shared" si="1315"/>
        <v>44696</v>
      </c>
      <c r="J1736" s="42">
        <f t="shared" si="1315"/>
        <v>2900154</v>
      </c>
      <c r="K1736" s="42">
        <f t="shared" si="1315"/>
        <v>2796285.049999997</v>
      </c>
      <c r="L1736" s="42">
        <f t="shared" si="1315"/>
        <v>3140500</v>
      </c>
      <c r="M1736" s="335">
        <f t="shared" si="1276"/>
        <v>8.2873530164260245E-2</v>
      </c>
      <c r="N1736" s="329">
        <f t="shared" si="1313"/>
        <v>240346</v>
      </c>
    </row>
    <row r="1737" spans="1:14" s="2" customFormat="1" ht="14.1" customHeight="1">
      <c r="A1737" s="174"/>
      <c r="B1737" s="174"/>
      <c r="C1737" s="174"/>
      <c r="D1737" s="174"/>
      <c r="E1737" s="174"/>
      <c r="F1737" s="288">
        <f>+E1736-F1736</f>
        <v>35065.859999999404</v>
      </c>
      <c r="G1737" s="174"/>
      <c r="H1737" s="174"/>
      <c r="I1737" s="174"/>
      <c r="J1737" s="174"/>
      <c r="K1737" s="174"/>
      <c r="L1737" s="288">
        <f>+J1736-L1736</f>
        <v>-240346</v>
      </c>
      <c r="M1737" s="335"/>
      <c r="N1737" s="329">
        <f t="shared" si="1313"/>
        <v>-240346</v>
      </c>
    </row>
    <row r="1738" spans="1:14" s="2" customFormat="1" ht="14.1" customHeight="1">
      <c r="A1738" s="174"/>
      <c r="B1738" s="174"/>
      <c r="C1738" s="174"/>
      <c r="D1738" s="174"/>
      <c r="E1738" s="174"/>
      <c r="F1738" s="174"/>
      <c r="G1738" s="174"/>
      <c r="H1738" s="174"/>
      <c r="I1738" s="174"/>
      <c r="J1738" s="174"/>
      <c r="K1738" s="174"/>
      <c r="L1738" s="174"/>
      <c r="M1738" s="335"/>
      <c r="N1738" s="329"/>
    </row>
    <row r="1739" spans="1:14" s="2" customFormat="1" ht="14.1" customHeight="1">
      <c r="A1739" s="174"/>
      <c r="B1739" s="174"/>
      <c r="C1739" s="174"/>
      <c r="D1739" s="174"/>
      <c r="E1739" s="174"/>
      <c r="F1739" s="174"/>
      <c r="G1739" s="174"/>
      <c r="H1739" s="174"/>
      <c r="I1739" s="174"/>
      <c r="J1739" s="174"/>
      <c r="K1739" s="174"/>
      <c r="L1739" s="174"/>
      <c r="M1739" s="335"/>
      <c r="N1739" s="329"/>
    </row>
    <row r="1740" spans="1:14" ht="14.1" customHeight="1">
      <c r="A1740" s="106" t="s">
        <v>872</v>
      </c>
      <c r="B1740" s="29"/>
      <c r="C1740" s="89" t="s">
        <v>873</v>
      </c>
      <c r="D1740" s="112"/>
      <c r="E1740" s="35"/>
      <c r="F1740" s="62"/>
      <c r="G1740" s="35"/>
      <c r="H1740" s="244"/>
      <c r="I1740" s="35"/>
      <c r="J1740" s="244"/>
      <c r="K1740" s="244"/>
      <c r="L1740" s="62"/>
      <c r="M1740" s="335"/>
      <c r="N1740" s="329"/>
    </row>
    <row r="1741" spans="1:14" ht="13.5" customHeight="1">
      <c r="A1741" s="45">
        <v>3502</v>
      </c>
      <c r="B1741" s="46"/>
      <c r="C1741" s="47" t="s">
        <v>874</v>
      </c>
      <c r="D1741" s="104">
        <v>552407</v>
      </c>
      <c r="E1741" s="104">
        <v>238979</v>
      </c>
      <c r="F1741" s="104">
        <f t="shared" ref="F1741:L1741" si="1316">SUM(F1742:F1770)</f>
        <v>2728187</v>
      </c>
      <c r="G1741" s="54">
        <f t="shared" si="1316"/>
        <v>-1372327</v>
      </c>
      <c r="H1741" s="104">
        <f t="shared" si="1316"/>
        <v>1355860</v>
      </c>
      <c r="I1741" s="54">
        <f t="shared" si="1316"/>
        <v>-249229</v>
      </c>
      <c r="J1741" s="104">
        <f t="shared" si="1316"/>
        <v>1106631</v>
      </c>
      <c r="K1741" s="104">
        <f t="shared" si="1316"/>
        <v>38430.14</v>
      </c>
      <c r="L1741" s="104">
        <f t="shared" si="1316"/>
        <v>925600</v>
      </c>
      <c r="M1741" s="335">
        <f t="shared" ref="M1741:M1806" si="1317">(L1741-J1741)/J1741</f>
        <v>-0.16358750116344112</v>
      </c>
      <c r="N1741" s="329">
        <f t="shared" si="1313"/>
        <v>-181031</v>
      </c>
    </row>
    <row r="1742" spans="1:14" ht="12.6" hidden="1">
      <c r="A1742" s="37"/>
      <c r="B1742" s="38"/>
      <c r="C1742" s="34" t="s">
        <v>875</v>
      </c>
      <c r="D1742" s="52">
        <v>297765</v>
      </c>
      <c r="E1742" s="17">
        <v>0</v>
      </c>
      <c r="F1742" s="224">
        <v>0</v>
      </c>
      <c r="G1742" s="17"/>
      <c r="H1742" s="245">
        <f t="shared" ref="H1742:H1770" si="1318">+G1742+F1742</f>
        <v>0</v>
      </c>
      <c r="I1742" s="17"/>
      <c r="J1742" s="300">
        <f t="shared" ref="J1742:J1770" si="1319">+I1742+H1742</f>
        <v>0</v>
      </c>
      <c r="K1742" s="17"/>
      <c r="L1742" s="226"/>
      <c r="M1742" s="335" t="e">
        <f t="shared" si="1317"/>
        <v>#DIV/0!</v>
      </c>
      <c r="N1742" s="329">
        <f t="shared" si="1313"/>
        <v>0</v>
      </c>
    </row>
    <row r="1743" spans="1:14" ht="12.6" hidden="1">
      <c r="A1743" s="32" t="s">
        <v>250</v>
      </c>
      <c r="B1743" s="33"/>
      <c r="C1743" s="34" t="s">
        <v>876</v>
      </c>
      <c r="D1743" s="52">
        <v>-157000</v>
      </c>
      <c r="E1743" s="17">
        <v>0</v>
      </c>
      <c r="F1743" s="224">
        <v>0</v>
      </c>
      <c r="G1743" s="17"/>
      <c r="H1743" s="245">
        <f t="shared" si="1318"/>
        <v>0</v>
      </c>
      <c r="I1743" s="17"/>
      <c r="J1743" s="300">
        <f t="shared" si="1319"/>
        <v>0</v>
      </c>
      <c r="K1743" s="17"/>
      <c r="L1743" s="226"/>
      <c r="M1743" s="335" t="e">
        <f t="shared" si="1317"/>
        <v>#DIV/0!</v>
      </c>
      <c r="N1743" s="329">
        <f t="shared" si="1313"/>
        <v>0</v>
      </c>
    </row>
    <row r="1744" spans="1:14" ht="12.6" hidden="1">
      <c r="A1744" s="32" t="s">
        <v>242</v>
      </c>
      <c r="B1744" s="33"/>
      <c r="C1744" s="34" t="s">
        <v>877</v>
      </c>
      <c r="D1744" s="52">
        <v>100000</v>
      </c>
      <c r="E1744" s="17">
        <v>0</v>
      </c>
      <c r="F1744" s="224">
        <v>0</v>
      </c>
      <c r="G1744" s="17"/>
      <c r="H1744" s="245">
        <f t="shared" si="1318"/>
        <v>0</v>
      </c>
      <c r="I1744" s="17"/>
      <c r="J1744" s="300">
        <f t="shared" si="1319"/>
        <v>0</v>
      </c>
      <c r="K1744" s="17"/>
      <c r="L1744" s="226"/>
      <c r="M1744" s="335" t="e">
        <f t="shared" si="1317"/>
        <v>#DIV/0!</v>
      </c>
      <c r="N1744" s="329">
        <f t="shared" si="1313"/>
        <v>0</v>
      </c>
    </row>
    <row r="1745" spans="1:14" ht="12.95" customHeight="1">
      <c r="A1745" s="84" t="s">
        <v>878</v>
      </c>
      <c r="B1745" s="33"/>
      <c r="C1745" s="34" t="s">
        <v>879</v>
      </c>
      <c r="D1745" s="52">
        <v>100000</v>
      </c>
      <c r="E1745" s="17">
        <v>100000</v>
      </c>
      <c r="F1745" s="224">
        <v>100000</v>
      </c>
      <c r="G1745" s="17"/>
      <c r="H1745" s="245">
        <f t="shared" si="1318"/>
        <v>100000</v>
      </c>
      <c r="I1745" s="17"/>
      <c r="J1745" s="300">
        <f t="shared" si="1319"/>
        <v>100000</v>
      </c>
      <c r="K1745" s="17"/>
      <c r="L1745" s="226">
        <v>100000</v>
      </c>
      <c r="M1745" s="335">
        <f t="shared" si="1317"/>
        <v>0</v>
      </c>
      <c r="N1745" s="329">
        <f t="shared" si="1313"/>
        <v>0</v>
      </c>
    </row>
    <row r="1746" spans="1:14" ht="12.6" hidden="1">
      <c r="A1746" s="32" t="s">
        <v>248</v>
      </c>
      <c r="B1746" s="33"/>
      <c r="C1746" s="34" t="s">
        <v>880</v>
      </c>
      <c r="D1746" s="52">
        <v>25000</v>
      </c>
      <c r="E1746" s="17">
        <v>25000</v>
      </c>
      <c r="F1746" s="224">
        <v>0</v>
      </c>
      <c r="G1746" s="17"/>
      <c r="H1746" s="245">
        <f t="shared" si="1318"/>
        <v>0</v>
      </c>
      <c r="I1746" s="17"/>
      <c r="J1746" s="300">
        <f t="shared" si="1319"/>
        <v>0</v>
      </c>
      <c r="K1746" s="17"/>
      <c r="L1746" s="226">
        <v>0</v>
      </c>
      <c r="M1746" s="335" t="e">
        <f t="shared" si="1317"/>
        <v>#DIV/0!</v>
      </c>
      <c r="N1746" s="329">
        <f t="shared" si="1313"/>
        <v>0</v>
      </c>
    </row>
    <row r="1747" spans="1:14" ht="12.6" hidden="1">
      <c r="A1747" s="84" t="s">
        <v>420</v>
      </c>
      <c r="B1747" s="260"/>
      <c r="C1747" s="34" t="s">
        <v>881</v>
      </c>
      <c r="D1747" s="52">
        <v>0</v>
      </c>
      <c r="E1747" s="17">
        <v>0</v>
      </c>
      <c r="F1747" s="224">
        <v>210000</v>
      </c>
      <c r="G1747" s="17"/>
      <c r="H1747" s="245">
        <f t="shared" si="1318"/>
        <v>210000</v>
      </c>
      <c r="I1747" s="17">
        <v>-210000</v>
      </c>
      <c r="J1747" s="300">
        <f t="shared" si="1319"/>
        <v>0</v>
      </c>
      <c r="K1747" s="17"/>
      <c r="L1747" s="226"/>
      <c r="M1747" s="335" t="e">
        <f t="shared" si="1317"/>
        <v>#DIV/0!</v>
      </c>
      <c r="N1747" s="329">
        <f t="shared" si="1313"/>
        <v>0</v>
      </c>
    </row>
    <row r="1748" spans="1:14" ht="12.6" hidden="1">
      <c r="A1748" s="32" t="s">
        <v>244</v>
      </c>
      <c r="B1748" s="33"/>
      <c r="C1748" s="34" t="s">
        <v>882</v>
      </c>
      <c r="D1748" s="52">
        <v>41000</v>
      </c>
      <c r="E1748" s="17">
        <v>0</v>
      </c>
      <c r="F1748" s="224">
        <v>0</v>
      </c>
      <c r="G1748" s="17"/>
      <c r="H1748" s="245">
        <f t="shared" si="1318"/>
        <v>0</v>
      </c>
      <c r="I1748" s="17"/>
      <c r="J1748" s="300">
        <f t="shared" si="1319"/>
        <v>0</v>
      </c>
      <c r="K1748" s="17"/>
      <c r="L1748" s="226"/>
      <c r="M1748" s="335" t="e">
        <f t="shared" si="1317"/>
        <v>#DIV/0!</v>
      </c>
      <c r="N1748" s="329">
        <f t="shared" si="1313"/>
        <v>0</v>
      </c>
    </row>
    <row r="1749" spans="1:14" ht="12.6" hidden="1">
      <c r="A1749" s="32" t="s">
        <v>250</v>
      </c>
      <c r="B1749" s="33"/>
      <c r="C1749" s="34" t="s">
        <v>586</v>
      </c>
      <c r="D1749" s="52">
        <v>145642</v>
      </c>
      <c r="E1749" s="17">
        <v>0</v>
      </c>
      <c r="F1749" s="224">
        <v>0</v>
      </c>
      <c r="G1749" s="17"/>
      <c r="H1749" s="245">
        <f t="shared" si="1318"/>
        <v>0</v>
      </c>
      <c r="I1749" s="17"/>
      <c r="J1749" s="300">
        <f t="shared" si="1319"/>
        <v>0</v>
      </c>
      <c r="K1749" s="17"/>
      <c r="L1749" s="226"/>
      <c r="M1749" s="335" t="e">
        <f t="shared" si="1317"/>
        <v>#DIV/0!</v>
      </c>
      <c r="N1749" s="329">
        <f t="shared" si="1313"/>
        <v>0</v>
      </c>
    </row>
    <row r="1750" spans="1:14" ht="12.6">
      <c r="A1750" s="84" t="s">
        <v>51</v>
      </c>
      <c r="B1750" s="33"/>
      <c r="C1750" s="34" t="s">
        <v>599</v>
      </c>
      <c r="D1750" s="52">
        <v>0</v>
      </c>
      <c r="E1750" s="17">
        <v>0</v>
      </c>
      <c r="F1750" s="224">
        <v>513000</v>
      </c>
      <c r="G1750" s="17"/>
      <c r="H1750" s="245">
        <f t="shared" si="1318"/>
        <v>513000</v>
      </c>
      <c r="I1750" s="17"/>
      <c r="J1750" s="300">
        <f t="shared" si="1319"/>
        <v>513000</v>
      </c>
      <c r="K1750" s="17"/>
      <c r="L1750" s="226"/>
      <c r="M1750" s="335">
        <f t="shared" si="1317"/>
        <v>-1</v>
      </c>
      <c r="N1750" s="329">
        <f t="shared" si="1313"/>
        <v>-513000</v>
      </c>
    </row>
    <row r="1751" spans="1:14" ht="13.5" customHeight="1">
      <c r="A1751" s="84" t="s">
        <v>878</v>
      </c>
      <c r="B1751" s="33"/>
      <c r="C1751" s="34" t="s">
        <v>883</v>
      </c>
      <c r="D1751" s="52">
        <v>0</v>
      </c>
      <c r="E1751" s="17">
        <v>94616</v>
      </c>
      <c r="F1751" s="224"/>
      <c r="G1751" s="17"/>
      <c r="H1751" s="245">
        <f t="shared" si="1318"/>
        <v>0</v>
      </c>
      <c r="I1751" s="17">
        <v>-12962</v>
      </c>
      <c r="J1751" s="300">
        <f t="shared" si="1319"/>
        <v>-12962</v>
      </c>
      <c r="K1751" s="17">
        <v>-12961.86</v>
      </c>
      <c r="L1751" s="226"/>
      <c r="M1751" s="335">
        <f t="shared" si="1317"/>
        <v>-1</v>
      </c>
      <c r="N1751" s="329">
        <f t="shared" si="1313"/>
        <v>12962</v>
      </c>
    </row>
    <row r="1752" spans="1:14" ht="12.6" hidden="1">
      <c r="A1752" s="32"/>
      <c r="B1752" s="33"/>
      <c r="C1752" s="34" t="s">
        <v>884</v>
      </c>
      <c r="D1752" s="52">
        <v>0</v>
      </c>
      <c r="E1752" s="17">
        <v>19363</v>
      </c>
      <c r="F1752" s="224"/>
      <c r="G1752" s="17"/>
      <c r="H1752" s="245">
        <f t="shared" si="1318"/>
        <v>0</v>
      </c>
      <c r="I1752" s="17"/>
      <c r="J1752" s="300">
        <f t="shared" si="1319"/>
        <v>0</v>
      </c>
      <c r="K1752" s="17"/>
      <c r="L1752" s="226"/>
      <c r="M1752" s="335" t="e">
        <f t="shared" si="1317"/>
        <v>#DIV/0!</v>
      </c>
      <c r="N1752" s="329">
        <f t="shared" si="1313"/>
        <v>0</v>
      </c>
    </row>
    <row r="1753" spans="1:14" ht="12.6">
      <c r="A1753" s="84" t="s">
        <v>885</v>
      </c>
      <c r="B1753" s="33"/>
      <c r="C1753" s="34" t="s">
        <v>886</v>
      </c>
      <c r="D1753" s="52">
        <v>0</v>
      </c>
      <c r="E1753" s="17">
        <v>0</v>
      </c>
      <c r="F1753" s="224">
        <v>651677</v>
      </c>
      <c r="G1753" s="17">
        <v>-651677</v>
      </c>
      <c r="H1753" s="245">
        <f t="shared" si="1318"/>
        <v>0</v>
      </c>
      <c r="I1753" s="17"/>
      <c r="J1753" s="300">
        <f t="shared" si="1319"/>
        <v>0</v>
      </c>
      <c r="K1753" s="17"/>
      <c r="L1753" s="226">
        <v>651600</v>
      </c>
      <c r="M1753" s="335" t="e">
        <f t="shared" si="1317"/>
        <v>#DIV/0!</v>
      </c>
      <c r="N1753" s="329">
        <f t="shared" si="1313"/>
        <v>651600</v>
      </c>
    </row>
    <row r="1754" spans="1:14" ht="12.6">
      <c r="A1754" s="84" t="s">
        <v>887</v>
      </c>
      <c r="B1754" s="33"/>
      <c r="C1754" s="34" t="s">
        <v>888</v>
      </c>
      <c r="D1754" s="52"/>
      <c r="E1754" s="17">
        <v>0</v>
      </c>
      <c r="F1754" s="224">
        <v>270300</v>
      </c>
      <c r="G1754" s="17"/>
      <c r="H1754" s="245">
        <f t="shared" si="1318"/>
        <v>270300</v>
      </c>
      <c r="I1754" s="17"/>
      <c r="J1754" s="300">
        <f t="shared" si="1319"/>
        <v>270300</v>
      </c>
      <c r="K1754" s="17"/>
      <c r="L1754" s="226"/>
      <c r="M1754" s="335">
        <f t="shared" si="1317"/>
        <v>-1</v>
      </c>
      <c r="N1754" s="329">
        <f t="shared" si="1313"/>
        <v>-270300</v>
      </c>
    </row>
    <row r="1755" spans="1:14" ht="12.6">
      <c r="A1755" s="32"/>
      <c r="B1755" s="33"/>
      <c r="C1755" s="34" t="s">
        <v>889</v>
      </c>
      <c r="D1755" s="52"/>
      <c r="E1755" s="17">
        <v>0</v>
      </c>
      <c r="F1755" s="224">
        <v>0</v>
      </c>
      <c r="G1755" s="17"/>
      <c r="H1755" s="245">
        <f t="shared" si="1318"/>
        <v>0</v>
      </c>
      <c r="I1755" s="17"/>
      <c r="J1755" s="300">
        <f t="shared" si="1319"/>
        <v>0</v>
      </c>
      <c r="K1755" s="17"/>
      <c r="L1755" s="226">
        <v>0</v>
      </c>
      <c r="M1755" s="335" t="e">
        <f t="shared" si="1317"/>
        <v>#DIV/0!</v>
      </c>
      <c r="N1755" s="329">
        <f t="shared" si="1313"/>
        <v>0</v>
      </c>
    </row>
    <row r="1756" spans="1:14" ht="12.6" hidden="1">
      <c r="A1756" s="32"/>
      <c r="B1756" s="33"/>
      <c r="C1756" s="34" t="s">
        <v>890</v>
      </c>
      <c r="D1756" s="52"/>
      <c r="E1756" s="17">
        <v>0</v>
      </c>
      <c r="F1756" s="224">
        <v>31210</v>
      </c>
      <c r="G1756" s="17">
        <v>-31210</v>
      </c>
      <c r="H1756" s="245">
        <f t="shared" si="1318"/>
        <v>0</v>
      </c>
      <c r="I1756" s="17"/>
      <c r="J1756" s="300">
        <f t="shared" si="1319"/>
        <v>0</v>
      </c>
      <c r="K1756" s="17"/>
      <c r="L1756" s="226"/>
      <c r="M1756" s="335" t="e">
        <f t="shared" si="1317"/>
        <v>#DIV/0!</v>
      </c>
      <c r="N1756" s="329">
        <f t="shared" si="1313"/>
        <v>0</v>
      </c>
    </row>
    <row r="1757" spans="1:14" ht="12.6">
      <c r="A1757" s="86" t="s">
        <v>325</v>
      </c>
      <c r="B1757" s="25"/>
      <c r="C1757" s="34" t="s">
        <v>891</v>
      </c>
      <c r="D1757" s="52"/>
      <c r="E1757" s="17">
        <v>0</v>
      </c>
      <c r="F1757" s="224">
        <v>102000</v>
      </c>
      <c r="G1757" s="17"/>
      <c r="H1757" s="245">
        <f t="shared" si="1318"/>
        <v>102000</v>
      </c>
      <c r="I1757" s="17"/>
      <c r="J1757" s="300">
        <f t="shared" si="1319"/>
        <v>102000</v>
      </c>
      <c r="K1757" s="17"/>
      <c r="L1757" s="226"/>
      <c r="M1757" s="335">
        <f t="shared" si="1317"/>
        <v>-1</v>
      </c>
      <c r="N1757" s="329">
        <f t="shared" si="1313"/>
        <v>-102000</v>
      </c>
    </row>
    <row r="1758" spans="1:14" ht="12.6" hidden="1">
      <c r="A1758" s="32"/>
      <c r="B1758" s="33"/>
      <c r="C1758" s="34" t="s">
        <v>892</v>
      </c>
      <c r="D1758" s="52"/>
      <c r="E1758" s="17">
        <v>0</v>
      </c>
      <c r="F1758" s="224">
        <v>700000</v>
      </c>
      <c r="G1758" s="17">
        <v>-700000</v>
      </c>
      <c r="H1758" s="245">
        <f t="shared" si="1318"/>
        <v>0</v>
      </c>
      <c r="I1758" s="17"/>
      <c r="J1758" s="300">
        <f t="shared" si="1319"/>
        <v>0</v>
      </c>
      <c r="K1758" s="17"/>
      <c r="L1758" s="226"/>
      <c r="M1758" s="335" t="e">
        <f t="shared" si="1317"/>
        <v>#DIV/0!</v>
      </c>
      <c r="N1758" s="329">
        <f t="shared" si="1313"/>
        <v>0</v>
      </c>
    </row>
    <row r="1759" spans="1:14" ht="12.6">
      <c r="A1759" s="84" t="s">
        <v>893</v>
      </c>
      <c r="B1759" s="33"/>
      <c r="C1759" s="34" t="s">
        <v>894</v>
      </c>
      <c r="D1759" s="52"/>
      <c r="E1759" s="17">
        <v>0</v>
      </c>
      <c r="F1759" s="224">
        <v>150000</v>
      </c>
      <c r="G1759" s="17"/>
      <c r="H1759" s="245">
        <f t="shared" si="1318"/>
        <v>150000</v>
      </c>
      <c r="I1759" s="17">
        <v>-150000</v>
      </c>
      <c r="J1759" s="300">
        <f t="shared" si="1319"/>
        <v>0</v>
      </c>
      <c r="K1759" s="17"/>
      <c r="L1759" s="226">
        <v>0</v>
      </c>
      <c r="M1759" s="335" t="e">
        <f t="shared" si="1317"/>
        <v>#DIV/0!</v>
      </c>
      <c r="N1759" s="329">
        <f t="shared" si="1313"/>
        <v>0</v>
      </c>
    </row>
    <row r="1760" spans="1:14" ht="12.6">
      <c r="A1760" s="84" t="s">
        <v>895</v>
      </c>
      <c r="B1760" s="33"/>
      <c r="C1760" s="119" t="s">
        <v>896</v>
      </c>
      <c r="D1760" s="52"/>
      <c r="E1760" s="17">
        <v>0</v>
      </c>
      <c r="F1760" s="224">
        <v>0</v>
      </c>
      <c r="G1760" s="17">
        <v>10560</v>
      </c>
      <c r="H1760" s="245">
        <f t="shared" si="1318"/>
        <v>10560</v>
      </c>
      <c r="I1760" s="17"/>
      <c r="J1760" s="300">
        <f t="shared" si="1319"/>
        <v>10560</v>
      </c>
      <c r="K1760" s="17"/>
      <c r="L1760" s="226"/>
      <c r="M1760" s="335">
        <f t="shared" si="1317"/>
        <v>-1</v>
      </c>
      <c r="N1760" s="329">
        <f t="shared" si="1313"/>
        <v>-10560</v>
      </c>
    </row>
    <row r="1761" spans="1:14" ht="12.6">
      <c r="A1761" s="84" t="s">
        <v>895</v>
      </c>
      <c r="B1761" s="33"/>
      <c r="C1761" s="119" t="s">
        <v>897</v>
      </c>
      <c r="D1761" s="52"/>
      <c r="E1761" s="17"/>
      <c r="F1761" s="224"/>
      <c r="G1761" s="17"/>
      <c r="H1761" s="245"/>
      <c r="I1761" s="17">
        <v>85653</v>
      </c>
      <c r="J1761" s="300">
        <f t="shared" si="1319"/>
        <v>85653</v>
      </c>
      <c r="K1761" s="17">
        <v>51392</v>
      </c>
      <c r="L1761" s="226"/>
      <c r="M1761" s="335">
        <f t="shared" si="1317"/>
        <v>-1</v>
      </c>
      <c r="N1761" s="329">
        <f t="shared" si="1313"/>
        <v>-85653</v>
      </c>
    </row>
    <row r="1762" spans="1:14" ht="12.6">
      <c r="A1762" s="86" t="s">
        <v>369</v>
      </c>
      <c r="B1762" s="33"/>
      <c r="C1762" s="119" t="s">
        <v>898</v>
      </c>
      <c r="D1762" s="52"/>
      <c r="E1762" s="17"/>
      <c r="F1762" s="224"/>
      <c r="G1762" s="17"/>
      <c r="H1762" s="245"/>
      <c r="I1762" s="17">
        <v>38080</v>
      </c>
      <c r="J1762" s="300">
        <f t="shared" si="1319"/>
        <v>38080</v>
      </c>
      <c r="K1762" s="17"/>
      <c r="L1762" s="226"/>
      <c r="M1762" s="335">
        <f t="shared" si="1317"/>
        <v>-1</v>
      </c>
      <c r="N1762" s="329">
        <f t="shared" si="1313"/>
        <v>-38080</v>
      </c>
    </row>
    <row r="1763" spans="1:14" ht="24.95">
      <c r="A1763" s="86" t="s">
        <v>878</v>
      </c>
      <c r="B1763" s="33"/>
      <c r="C1763" s="305" t="s">
        <v>899</v>
      </c>
      <c r="D1763" s="52"/>
      <c r="E1763" s="17"/>
      <c r="F1763" s="224"/>
      <c r="G1763" s="17"/>
      <c r="H1763" s="245"/>
      <c r="I1763" s="17"/>
      <c r="J1763" s="300"/>
      <c r="K1763" s="17"/>
      <c r="L1763" s="226">
        <v>54000</v>
      </c>
      <c r="M1763" s="335" t="e">
        <f t="shared" si="1317"/>
        <v>#DIV/0!</v>
      </c>
      <c r="N1763" s="329">
        <f t="shared" si="1313"/>
        <v>54000</v>
      </c>
    </row>
    <row r="1764" spans="1:14" ht="15.95" customHeight="1">
      <c r="A1764" s="86"/>
      <c r="B1764" s="33"/>
      <c r="C1764" s="304" t="s">
        <v>900</v>
      </c>
      <c r="D1764" s="52"/>
      <c r="E1764" s="17"/>
      <c r="F1764" s="224"/>
      <c r="G1764" s="17"/>
      <c r="H1764" s="245"/>
      <c r="I1764" s="17"/>
      <c r="J1764" s="300"/>
      <c r="K1764" s="17"/>
      <c r="L1764" s="226">
        <v>108000</v>
      </c>
      <c r="M1764" s="335" t="e">
        <f t="shared" si="1317"/>
        <v>#DIV/0!</v>
      </c>
      <c r="N1764" s="329">
        <f t="shared" si="1313"/>
        <v>108000</v>
      </c>
    </row>
    <row r="1765" spans="1:14" ht="12.6">
      <c r="A1765" s="86" t="s">
        <v>895</v>
      </c>
      <c r="B1765" s="33">
        <v>2024</v>
      </c>
      <c r="C1765" s="119" t="s">
        <v>901</v>
      </c>
      <c r="D1765" s="52"/>
      <c r="E1765" s="17"/>
      <c r="F1765" s="224"/>
      <c r="G1765" s="17"/>
      <c r="H1765" s="245"/>
      <c r="I1765" s="17"/>
      <c r="J1765" s="300"/>
      <c r="K1765" s="17"/>
      <c r="L1765" s="226">
        <v>12000</v>
      </c>
      <c r="M1765" s="335" t="e">
        <f t="shared" si="1317"/>
        <v>#DIV/0!</v>
      </c>
      <c r="N1765" s="329">
        <f t="shared" si="1313"/>
        <v>12000</v>
      </c>
    </row>
    <row r="1766" spans="1:14" ht="6" customHeight="1">
      <c r="A1766" s="86"/>
      <c r="B1766" s="33"/>
      <c r="C1766" s="150"/>
      <c r="D1766" s="52"/>
      <c r="E1766" s="17"/>
      <c r="F1766" s="224"/>
      <c r="G1766" s="17"/>
      <c r="H1766" s="245"/>
      <c r="I1766" s="17"/>
      <c r="J1766" s="300"/>
      <c r="K1766" s="17"/>
      <c r="L1766" s="226"/>
      <c r="M1766" s="335" t="e">
        <f t="shared" si="1317"/>
        <v>#DIV/0!</v>
      </c>
      <c r="N1766" s="329">
        <f t="shared" si="1313"/>
        <v>0</v>
      </c>
    </row>
    <row r="1767" spans="1:14" ht="12.6" hidden="1">
      <c r="A1767" s="86"/>
      <c r="B1767" s="33"/>
      <c r="C1767" s="119"/>
      <c r="D1767" s="52"/>
      <c r="E1767" s="17"/>
      <c r="F1767" s="224"/>
      <c r="G1767" s="17"/>
      <c r="H1767" s="245"/>
      <c r="I1767" s="17"/>
      <c r="J1767" s="300"/>
      <c r="K1767" s="17"/>
      <c r="L1767" s="226"/>
      <c r="M1767" s="335" t="e">
        <f t="shared" si="1317"/>
        <v>#DIV/0!</v>
      </c>
      <c r="N1767" s="329">
        <f t="shared" si="1313"/>
        <v>0</v>
      </c>
    </row>
    <row r="1768" spans="1:14" ht="12.6" hidden="1">
      <c r="A1768" s="86"/>
      <c r="B1768" s="33"/>
      <c r="C1768" s="119"/>
      <c r="D1768" s="52"/>
      <c r="E1768" s="17"/>
      <c r="F1768" s="224"/>
      <c r="G1768" s="17"/>
      <c r="H1768" s="245"/>
      <c r="I1768" s="17"/>
      <c r="J1768" s="300"/>
      <c r="K1768" s="17"/>
      <c r="L1768" s="226"/>
      <c r="M1768" s="335" t="e">
        <f t="shared" si="1317"/>
        <v>#DIV/0!</v>
      </c>
      <c r="N1768" s="329">
        <f t="shared" si="1313"/>
        <v>0</v>
      </c>
    </row>
    <row r="1769" spans="1:14" ht="12.6" hidden="1">
      <c r="A1769" s="86"/>
      <c r="B1769" s="33"/>
      <c r="C1769" s="119"/>
      <c r="D1769" s="52"/>
      <c r="E1769" s="17"/>
      <c r="F1769" s="224"/>
      <c r="G1769" s="17"/>
      <c r="H1769" s="245"/>
      <c r="I1769" s="17"/>
      <c r="J1769" s="300"/>
      <c r="K1769" s="17"/>
      <c r="L1769" s="226"/>
      <c r="M1769" s="335" t="e">
        <f t="shared" si="1317"/>
        <v>#DIV/0!</v>
      </c>
      <c r="N1769" s="329">
        <f t="shared" si="1313"/>
        <v>0</v>
      </c>
    </row>
    <row r="1770" spans="1:14" ht="12.6" hidden="1">
      <c r="A1770" s="32"/>
      <c r="B1770" s="33"/>
      <c r="C1770" s="34"/>
      <c r="D1770" s="52"/>
      <c r="E1770" s="17">
        <v>0</v>
      </c>
      <c r="F1770" s="224">
        <v>0</v>
      </c>
      <c r="G1770" s="17"/>
      <c r="H1770" s="245">
        <f t="shared" si="1318"/>
        <v>0</v>
      </c>
      <c r="I1770" s="17"/>
      <c r="J1770" s="300">
        <f t="shared" si="1319"/>
        <v>0</v>
      </c>
      <c r="K1770" s="17"/>
      <c r="L1770" s="226"/>
      <c r="M1770" s="335" t="e">
        <f t="shared" si="1317"/>
        <v>#DIV/0!</v>
      </c>
      <c r="N1770" s="329">
        <f t="shared" si="1313"/>
        <v>0</v>
      </c>
    </row>
    <row r="1771" spans="1:14" ht="12.6">
      <c r="A1771" s="45">
        <v>4502</v>
      </c>
      <c r="B1771" s="46"/>
      <c r="C1771" s="47" t="s">
        <v>902</v>
      </c>
      <c r="D1771" s="50">
        <v>-703512</v>
      </c>
      <c r="E1771" s="50">
        <v>-786147</v>
      </c>
      <c r="F1771" s="50">
        <f t="shared" ref="F1771:L1771" si="1320">SUM(F1772:F1782)</f>
        <v>-1225833</v>
      </c>
      <c r="G1771" s="50">
        <f t="shared" si="1320"/>
        <v>61492</v>
      </c>
      <c r="H1771" s="246">
        <f t="shared" si="1320"/>
        <v>-1164341</v>
      </c>
      <c r="I1771" s="50">
        <f t="shared" si="1320"/>
        <v>-53546</v>
      </c>
      <c r="J1771" s="246">
        <f t="shared" si="1320"/>
        <v>-1217887</v>
      </c>
      <c r="K1771" s="54">
        <f t="shared" si="1320"/>
        <v>-598176</v>
      </c>
      <c r="L1771" s="54">
        <f t="shared" si="1320"/>
        <v>-1498500</v>
      </c>
      <c r="M1771" s="335">
        <f t="shared" si="1317"/>
        <v>0.23040971781454272</v>
      </c>
      <c r="N1771" s="329">
        <f t="shared" si="1313"/>
        <v>-280613</v>
      </c>
    </row>
    <row r="1772" spans="1:14" ht="12.6">
      <c r="A1772" s="37" t="s">
        <v>250</v>
      </c>
      <c r="B1772" s="38">
        <v>2024</v>
      </c>
      <c r="C1772" s="34" t="s">
        <v>903</v>
      </c>
      <c r="D1772" s="52">
        <v>-289376</v>
      </c>
      <c r="E1772" s="17">
        <v>-506147</v>
      </c>
      <c r="F1772" s="224">
        <f>-137900-146350-437583</f>
        <v>-721833</v>
      </c>
      <c r="G1772" s="17">
        <v>61492</v>
      </c>
      <c r="H1772" s="245">
        <f t="shared" ref="H1772:H1782" si="1321">+G1772+F1772</f>
        <v>-660341</v>
      </c>
      <c r="I1772" s="17"/>
      <c r="J1772" s="300">
        <f t="shared" ref="J1772:J1782" si="1322">+I1772+H1772</f>
        <v>-660341</v>
      </c>
      <c r="K1772" s="17">
        <v>-333600</v>
      </c>
      <c r="L1772" s="226">
        <v>-620000</v>
      </c>
      <c r="M1772" s="335">
        <f t="shared" si="1317"/>
        <v>-6.1091163504916397E-2</v>
      </c>
      <c r="N1772" s="329">
        <f t="shared" si="1313"/>
        <v>40341</v>
      </c>
    </row>
    <row r="1773" spans="1:14" ht="12.6">
      <c r="A1773" s="84" t="s">
        <v>878</v>
      </c>
      <c r="B1773" s="33">
        <v>2024</v>
      </c>
      <c r="C1773" s="34" t="s">
        <v>879</v>
      </c>
      <c r="D1773" s="52">
        <v>-200000</v>
      </c>
      <c r="E1773" s="17">
        <v>-200000</v>
      </c>
      <c r="F1773" s="224">
        <v>-200000</v>
      </c>
      <c r="G1773" s="17"/>
      <c r="H1773" s="245">
        <f t="shared" si="1321"/>
        <v>-200000</v>
      </c>
      <c r="I1773" s="17"/>
      <c r="J1773" s="300">
        <f t="shared" si="1322"/>
        <v>-200000</v>
      </c>
      <c r="K1773" s="17">
        <v>-122049</v>
      </c>
      <c r="L1773" s="226">
        <v>-200000</v>
      </c>
      <c r="M1773" s="335">
        <f t="shared" si="1317"/>
        <v>0</v>
      </c>
      <c r="N1773" s="329">
        <f t="shared" si="1313"/>
        <v>0</v>
      </c>
    </row>
    <row r="1774" spans="1:14" ht="14.1" customHeight="1">
      <c r="A1774" s="84" t="s">
        <v>878</v>
      </c>
      <c r="B1774" s="33"/>
      <c r="C1774" s="34" t="s">
        <v>904</v>
      </c>
      <c r="D1774" s="52">
        <v>-186136</v>
      </c>
      <c r="E1774" s="17">
        <v>-80000</v>
      </c>
      <c r="F1774" s="224">
        <v>-100000</v>
      </c>
      <c r="G1774" s="17"/>
      <c r="H1774" s="245">
        <f t="shared" si="1321"/>
        <v>-100000</v>
      </c>
      <c r="I1774" s="17">
        <v>454</v>
      </c>
      <c r="J1774" s="300">
        <f t="shared" si="1322"/>
        <v>-99546</v>
      </c>
      <c r="K1774" s="17">
        <v>-117161</v>
      </c>
      <c r="L1774" s="226"/>
      <c r="M1774" s="335">
        <f t="shared" si="1317"/>
        <v>-1</v>
      </c>
      <c r="N1774" s="329">
        <f t="shared" si="1313"/>
        <v>99546</v>
      </c>
    </row>
    <row r="1775" spans="1:14" ht="14.1" customHeight="1">
      <c r="A1775" s="84" t="s">
        <v>893</v>
      </c>
      <c r="B1775" s="33"/>
      <c r="C1775" s="34" t="s">
        <v>905</v>
      </c>
      <c r="D1775" s="52">
        <v>0</v>
      </c>
      <c r="E1775" s="17">
        <v>0</v>
      </c>
      <c r="F1775" s="224">
        <v>-204000</v>
      </c>
      <c r="G1775" s="17"/>
      <c r="H1775" s="245">
        <f t="shared" si="1321"/>
        <v>-204000</v>
      </c>
      <c r="I1775" s="17"/>
      <c r="J1775" s="300">
        <f t="shared" si="1322"/>
        <v>-204000</v>
      </c>
      <c r="K1775" s="17"/>
      <c r="L1775" s="226">
        <v>-204000</v>
      </c>
      <c r="M1775" s="335">
        <f t="shared" si="1317"/>
        <v>0</v>
      </c>
      <c r="N1775" s="329">
        <f t="shared" si="1313"/>
        <v>0</v>
      </c>
    </row>
    <row r="1776" spans="1:14" ht="12.6">
      <c r="A1776" s="84" t="s">
        <v>893</v>
      </c>
      <c r="B1776" s="33"/>
      <c r="C1776" s="34" t="s">
        <v>906</v>
      </c>
      <c r="D1776" s="52"/>
      <c r="E1776" s="17">
        <v>0</v>
      </c>
      <c r="F1776" s="224">
        <v>0</v>
      </c>
      <c r="G1776" s="17"/>
      <c r="H1776" s="245">
        <f t="shared" si="1321"/>
        <v>0</v>
      </c>
      <c r="I1776" s="17">
        <v>-20000</v>
      </c>
      <c r="J1776" s="300">
        <f t="shared" si="1322"/>
        <v>-20000</v>
      </c>
      <c r="K1776" s="17"/>
      <c r="L1776" s="226"/>
      <c r="M1776" s="335">
        <f t="shared" si="1317"/>
        <v>-1</v>
      </c>
      <c r="N1776" s="329">
        <f t="shared" si="1313"/>
        <v>20000</v>
      </c>
    </row>
    <row r="1777" spans="1:14" ht="12.6">
      <c r="A1777" s="84" t="s">
        <v>878</v>
      </c>
      <c r="B1777" s="33"/>
      <c r="C1777" s="34" t="s">
        <v>907</v>
      </c>
      <c r="D1777" s="52"/>
      <c r="E1777" s="17">
        <v>0</v>
      </c>
      <c r="F1777" s="224">
        <v>0</v>
      </c>
      <c r="G1777" s="17"/>
      <c r="H1777" s="245">
        <f t="shared" si="1321"/>
        <v>0</v>
      </c>
      <c r="I1777" s="17">
        <v>-34000</v>
      </c>
      <c r="J1777" s="300">
        <f t="shared" si="1322"/>
        <v>-34000</v>
      </c>
      <c r="K1777" s="17"/>
      <c r="L1777" s="226">
        <v>-384500</v>
      </c>
      <c r="M1777" s="335">
        <f t="shared" si="1317"/>
        <v>10.308823529411764</v>
      </c>
      <c r="N1777" s="329">
        <f t="shared" si="1313"/>
        <v>-350500</v>
      </c>
    </row>
    <row r="1778" spans="1:14" ht="12.6">
      <c r="A1778" s="84"/>
      <c r="B1778" s="33"/>
      <c r="C1778" s="34" t="s">
        <v>908</v>
      </c>
      <c r="D1778" s="52"/>
      <c r="E1778" s="17"/>
      <c r="F1778" s="224"/>
      <c r="G1778" s="17"/>
      <c r="H1778" s="245"/>
      <c r="I1778" s="17"/>
      <c r="J1778" s="300"/>
      <c r="K1778" s="17">
        <v>-10000</v>
      </c>
      <c r="L1778" s="226"/>
      <c r="M1778" s="335"/>
      <c r="N1778" s="329">
        <f t="shared" si="1313"/>
        <v>0</v>
      </c>
    </row>
    <row r="1779" spans="1:14" ht="24.95">
      <c r="A1779" s="84"/>
      <c r="B1779" s="33"/>
      <c r="C1779" s="310" t="s">
        <v>909</v>
      </c>
      <c r="D1779" s="52"/>
      <c r="E1779" s="17"/>
      <c r="F1779" s="224"/>
      <c r="G1779" s="17"/>
      <c r="H1779" s="245"/>
      <c r="I1779" s="17"/>
      <c r="J1779" s="300"/>
      <c r="K1779" s="17">
        <v>-15366</v>
      </c>
      <c r="L1779" s="226"/>
      <c r="M1779" s="335"/>
      <c r="N1779" s="329">
        <f t="shared" si="1313"/>
        <v>0</v>
      </c>
    </row>
    <row r="1780" spans="1:14" ht="12.6">
      <c r="A1780" s="84"/>
      <c r="B1780" s="33">
        <v>2024</v>
      </c>
      <c r="C1780" s="34" t="s">
        <v>910</v>
      </c>
      <c r="D1780" s="52"/>
      <c r="E1780" s="17">
        <v>0</v>
      </c>
      <c r="F1780" s="224"/>
      <c r="G1780" s="17"/>
      <c r="H1780" s="245">
        <f t="shared" si="1321"/>
        <v>0</v>
      </c>
      <c r="I1780" s="17"/>
      <c r="J1780" s="300">
        <f t="shared" si="1322"/>
        <v>0</v>
      </c>
      <c r="K1780" s="17"/>
      <c r="L1780" s="226">
        <v>-40000</v>
      </c>
      <c r="M1780" s="335" t="e">
        <f t="shared" si="1317"/>
        <v>#DIV/0!</v>
      </c>
      <c r="N1780" s="329">
        <f t="shared" si="1313"/>
        <v>-40000</v>
      </c>
    </row>
    <row r="1781" spans="1:14" ht="12.6">
      <c r="A1781" s="84" t="s">
        <v>878</v>
      </c>
      <c r="B1781" s="33"/>
      <c r="C1781" s="34" t="s">
        <v>911</v>
      </c>
      <c r="D1781" s="52">
        <v>0</v>
      </c>
      <c r="E1781" s="17">
        <v>0</v>
      </c>
      <c r="F1781" s="224"/>
      <c r="G1781" s="17"/>
      <c r="H1781" s="245">
        <f t="shared" si="1321"/>
        <v>0</v>
      </c>
      <c r="I1781" s="17"/>
      <c r="J1781" s="300">
        <f t="shared" si="1322"/>
        <v>0</v>
      </c>
      <c r="K1781" s="17"/>
      <c r="L1781" s="226">
        <v>-50000</v>
      </c>
      <c r="M1781" s="335" t="e">
        <f t="shared" si="1317"/>
        <v>#DIV/0!</v>
      </c>
      <c r="N1781" s="329">
        <f t="shared" si="1313"/>
        <v>-50000</v>
      </c>
    </row>
    <row r="1782" spans="1:14" ht="12.6">
      <c r="A1782" s="84"/>
      <c r="B1782" s="33"/>
      <c r="C1782" s="34"/>
      <c r="D1782" s="52">
        <v>0</v>
      </c>
      <c r="E1782" s="17">
        <v>0</v>
      </c>
      <c r="F1782" s="224"/>
      <c r="G1782" s="17"/>
      <c r="H1782" s="245">
        <f t="shared" si="1321"/>
        <v>0</v>
      </c>
      <c r="I1782" s="17"/>
      <c r="J1782" s="300">
        <f t="shared" si="1322"/>
        <v>0</v>
      </c>
      <c r="K1782" s="17"/>
      <c r="L1782" s="226"/>
      <c r="M1782" s="335" t="e">
        <f t="shared" si="1317"/>
        <v>#DIV/0!</v>
      </c>
      <c r="N1782" s="329">
        <f t="shared" si="1313"/>
        <v>0</v>
      </c>
    </row>
    <row r="1783" spans="1:14" ht="14.1" customHeight="1">
      <c r="A1783" s="45">
        <v>381</v>
      </c>
      <c r="B1783" s="46"/>
      <c r="C1783" s="47" t="s">
        <v>912</v>
      </c>
      <c r="D1783" s="53">
        <v>200000</v>
      </c>
      <c r="E1783" s="54">
        <v>143000</v>
      </c>
      <c r="F1783" s="50">
        <f t="shared" ref="F1783:L1783" si="1323">+F1784</f>
        <v>400000</v>
      </c>
      <c r="G1783" s="50">
        <f t="shared" si="1323"/>
        <v>0</v>
      </c>
      <c r="H1783" s="247">
        <f t="shared" si="1323"/>
        <v>400000</v>
      </c>
      <c r="I1783" s="50">
        <f t="shared" si="1323"/>
        <v>-250000</v>
      </c>
      <c r="J1783" s="246">
        <f t="shared" si="1323"/>
        <v>150000</v>
      </c>
      <c r="K1783" s="246">
        <f t="shared" si="1323"/>
        <v>71260</v>
      </c>
      <c r="L1783" s="54">
        <f t="shared" si="1323"/>
        <v>400000</v>
      </c>
      <c r="M1783" s="335">
        <f t="shared" si="1317"/>
        <v>1.6666666666666667</v>
      </c>
      <c r="N1783" s="329">
        <f t="shared" si="1313"/>
        <v>250000</v>
      </c>
    </row>
    <row r="1784" spans="1:14" ht="14.1" customHeight="1">
      <c r="A1784" s="84"/>
      <c r="B1784" s="33"/>
      <c r="C1784" s="34" t="s">
        <v>912</v>
      </c>
      <c r="D1784" s="52">
        <v>200000</v>
      </c>
      <c r="E1784" s="17">
        <v>143000</v>
      </c>
      <c r="F1784" s="224">
        <v>400000</v>
      </c>
      <c r="G1784" s="17"/>
      <c r="H1784" s="245">
        <f t="shared" ref="H1784" si="1324">+G1784+F1784</f>
        <v>400000</v>
      </c>
      <c r="I1784" s="17">
        <v>-250000</v>
      </c>
      <c r="J1784" s="300">
        <f t="shared" ref="J1784" si="1325">+I1784+H1784</f>
        <v>150000</v>
      </c>
      <c r="K1784" s="17">
        <v>71260</v>
      </c>
      <c r="L1784" s="226">
        <v>400000</v>
      </c>
      <c r="M1784" s="335">
        <f t="shared" si="1317"/>
        <v>1.6666666666666667</v>
      </c>
      <c r="N1784" s="329">
        <f t="shared" si="1313"/>
        <v>250000</v>
      </c>
    </row>
    <row r="1785" spans="1:14" ht="12.95" customHeight="1">
      <c r="A1785" s="45"/>
      <c r="B1785" s="46"/>
      <c r="C1785" s="47" t="s">
        <v>913</v>
      </c>
      <c r="D1785" s="53">
        <v>-5084465</v>
      </c>
      <c r="E1785" s="54">
        <v>-5195624</v>
      </c>
      <c r="F1785" s="50">
        <f t="shared" ref="F1785:L1785" si="1326">SUM(F1786:F1859)</f>
        <v>-9614633</v>
      </c>
      <c r="G1785" s="50">
        <f t="shared" si="1326"/>
        <v>2415223</v>
      </c>
      <c r="H1785" s="247">
        <f t="shared" si="1326"/>
        <v>-7199410</v>
      </c>
      <c r="I1785" s="50">
        <f t="shared" si="1326"/>
        <v>534942</v>
      </c>
      <c r="J1785" s="246">
        <f t="shared" si="1326"/>
        <v>-6664468</v>
      </c>
      <c r="K1785" s="54">
        <f t="shared" si="1326"/>
        <v>-4564479</v>
      </c>
      <c r="L1785" s="54">
        <f t="shared" si="1326"/>
        <v>-9381300</v>
      </c>
      <c r="M1785" s="335">
        <f t="shared" si="1317"/>
        <v>0.40765924601933717</v>
      </c>
      <c r="N1785" s="329">
        <f t="shared" si="1313"/>
        <v>-2716832</v>
      </c>
    </row>
    <row r="1786" spans="1:14" ht="12.6" hidden="1">
      <c r="A1786" s="37" t="s">
        <v>914</v>
      </c>
      <c r="B1786" s="38"/>
      <c r="C1786" s="34" t="s">
        <v>915</v>
      </c>
      <c r="D1786" s="52">
        <v>0</v>
      </c>
      <c r="E1786" s="17">
        <v>-20000</v>
      </c>
      <c r="F1786" s="224">
        <v>0</v>
      </c>
      <c r="G1786" s="17"/>
      <c r="H1786" s="245">
        <f t="shared" ref="H1786:H1834" si="1327">+G1786+F1786</f>
        <v>0</v>
      </c>
      <c r="I1786" s="17"/>
      <c r="J1786" s="300">
        <f t="shared" ref="J1786:J1834" si="1328">+I1786+H1786</f>
        <v>0</v>
      </c>
      <c r="K1786" s="17"/>
      <c r="L1786" s="226"/>
      <c r="M1786" s="335" t="e">
        <f t="shared" si="1317"/>
        <v>#DIV/0!</v>
      </c>
      <c r="N1786" s="329">
        <f t="shared" si="1313"/>
        <v>0</v>
      </c>
    </row>
    <row r="1787" spans="1:14" s="8" customFormat="1" ht="12.6">
      <c r="A1787" s="32" t="s">
        <v>885</v>
      </c>
      <c r="B1787" s="33"/>
      <c r="C1787" s="34" t="s">
        <v>916</v>
      </c>
      <c r="D1787" s="52">
        <v>0</v>
      </c>
      <c r="E1787" s="17">
        <v>0</v>
      </c>
      <c r="F1787" s="224">
        <v>-1236840</v>
      </c>
      <c r="G1787" s="17">
        <v>1200000</v>
      </c>
      <c r="H1787" s="245">
        <f t="shared" si="1327"/>
        <v>-36840</v>
      </c>
      <c r="I1787" s="17"/>
      <c r="J1787" s="300">
        <f t="shared" si="1328"/>
        <v>-36840</v>
      </c>
      <c r="K1787" s="17">
        <v>-15048</v>
      </c>
      <c r="L1787" s="226">
        <v>-1200000</v>
      </c>
      <c r="M1787" s="335">
        <f t="shared" si="1317"/>
        <v>31.573289902280131</v>
      </c>
      <c r="N1787" s="329">
        <f t="shared" si="1313"/>
        <v>-1163160</v>
      </c>
    </row>
    <row r="1788" spans="1:14" ht="12.6">
      <c r="A1788" s="84" t="s">
        <v>893</v>
      </c>
      <c r="B1788" s="33"/>
      <c r="C1788" s="34" t="s">
        <v>917</v>
      </c>
      <c r="D1788" s="52">
        <v>-178000</v>
      </c>
      <c r="E1788" s="17">
        <v>-53836</v>
      </c>
      <c r="F1788" s="224">
        <v>-500000</v>
      </c>
      <c r="G1788" s="17">
        <v>100000</v>
      </c>
      <c r="H1788" s="245">
        <f t="shared" si="1327"/>
        <v>-400000</v>
      </c>
      <c r="I1788" s="17">
        <v>200000</v>
      </c>
      <c r="J1788" s="300">
        <f t="shared" si="1328"/>
        <v>-200000</v>
      </c>
      <c r="K1788" s="17">
        <v>-203083</v>
      </c>
      <c r="L1788" s="226">
        <v>-370000</v>
      </c>
      <c r="M1788" s="335">
        <f t="shared" si="1317"/>
        <v>0.85</v>
      </c>
      <c r="N1788" s="329">
        <f t="shared" si="1313"/>
        <v>-170000</v>
      </c>
    </row>
    <row r="1789" spans="1:14" ht="12.6">
      <c r="A1789" s="85" t="s">
        <v>893</v>
      </c>
      <c r="B1789" s="33"/>
      <c r="C1789" s="34" t="s">
        <v>918</v>
      </c>
      <c r="D1789" s="52">
        <v>-30000</v>
      </c>
      <c r="E1789" s="17">
        <v>-38981</v>
      </c>
      <c r="F1789" s="224">
        <v>-60000</v>
      </c>
      <c r="G1789" s="17"/>
      <c r="H1789" s="245">
        <f t="shared" si="1327"/>
        <v>-60000</v>
      </c>
      <c r="I1789" s="17"/>
      <c r="J1789" s="300">
        <f t="shared" si="1328"/>
        <v>-60000</v>
      </c>
      <c r="K1789" s="17"/>
      <c r="L1789" s="226">
        <v>-60000</v>
      </c>
      <c r="M1789" s="335">
        <f t="shared" si="1317"/>
        <v>0</v>
      </c>
      <c r="N1789" s="329">
        <f t="shared" si="1313"/>
        <v>0</v>
      </c>
    </row>
    <row r="1790" spans="1:14" ht="13.5" customHeight="1">
      <c r="A1790" s="84" t="s">
        <v>893</v>
      </c>
      <c r="B1790" s="33"/>
      <c r="C1790" s="34" t="s">
        <v>919</v>
      </c>
      <c r="D1790" s="52">
        <v>0</v>
      </c>
      <c r="E1790" s="17">
        <v>-87454</v>
      </c>
      <c r="F1790" s="224">
        <v>-100000</v>
      </c>
      <c r="G1790" s="17"/>
      <c r="H1790" s="245">
        <f t="shared" si="1327"/>
        <v>-100000</v>
      </c>
      <c r="I1790" s="17">
        <f>75000-12000</f>
        <v>63000</v>
      </c>
      <c r="J1790" s="300">
        <f t="shared" si="1328"/>
        <v>-37000</v>
      </c>
      <c r="K1790" s="17">
        <v>-40866</v>
      </c>
      <c r="L1790" s="226">
        <v>-100000</v>
      </c>
      <c r="M1790" s="335">
        <f t="shared" si="1317"/>
        <v>1.7027027027027026</v>
      </c>
      <c r="N1790" s="329">
        <f t="shared" si="1313"/>
        <v>-63000</v>
      </c>
    </row>
    <row r="1791" spans="1:14" ht="12.6" hidden="1">
      <c r="A1791" s="84" t="s">
        <v>887</v>
      </c>
      <c r="B1791" s="33"/>
      <c r="C1791" s="34" t="s">
        <v>920</v>
      </c>
      <c r="D1791" s="52">
        <v>-30000</v>
      </c>
      <c r="E1791" s="17">
        <v>0</v>
      </c>
      <c r="F1791" s="224">
        <v>0</v>
      </c>
      <c r="G1791" s="17"/>
      <c r="H1791" s="245">
        <f t="shared" si="1327"/>
        <v>0</v>
      </c>
      <c r="I1791" s="17"/>
      <c r="J1791" s="300">
        <f t="shared" si="1328"/>
        <v>0</v>
      </c>
      <c r="K1791" s="17"/>
      <c r="L1791" s="226"/>
      <c r="M1791" s="335" t="e">
        <f t="shared" si="1317"/>
        <v>#DIV/0!</v>
      </c>
      <c r="N1791" s="329">
        <f t="shared" si="1313"/>
        <v>0</v>
      </c>
    </row>
    <row r="1792" spans="1:14" ht="12.6" hidden="1">
      <c r="A1792" s="84" t="s">
        <v>887</v>
      </c>
      <c r="B1792" s="33"/>
      <c r="C1792" s="34" t="s">
        <v>921</v>
      </c>
      <c r="D1792" s="52">
        <v>0</v>
      </c>
      <c r="E1792" s="17">
        <v>-64416</v>
      </c>
      <c r="F1792" s="224">
        <v>0</v>
      </c>
      <c r="G1792" s="17"/>
      <c r="H1792" s="245">
        <f t="shared" si="1327"/>
        <v>0</v>
      </c>
      <c r="I1792" s="17"/>
      <c r="J1792" s="300">
        <f t="shared" si="1328"/>
        <v>0</v>
      </c>
      <c r="K1792" s="17"/>
      <c r="L1792" s="226"/>
      <c r="M1792" s="335" t="e">
        <f t="shared" si="1317"/>
        <v>#DIV/0!</v>
      </c>
      <c r="N1792" s="329">
        <f t="shared" si="1313"/>
        <v>0</v>
      </c>
    </row>
    <row r="1793" spans="1:14" ht="12.6" hidden="1">
      <c r="A1793" s="84" t="s">
        <v>887</v>
      </c>
      <c r="B1793" s="33"/>
      <c r="C1793" s="34" t="s">
        <v>922</v>
      </c>
      <c r="D1793" s="52">
        <v>-150000</v>
      </c>
      <c r="E1793" s="17">
        <v>0</v>
      </c>
      <c r="F1793" s="224">
        <v>0</v>
      </c>
      <c r="G1793" s="17"/>
      <c r="H1793" s="245">
        <f t="shared" si="1327"/>
        <v>0</v>
      </c>
      <c r="I1793" s="17"/>
      <c r="J1793" s="300">
        <f t="shared" si="1328"/>
        <v>0</v>
      </c>
      <c r="K1793" s="17"/>
      <c r="L1793" s="226"/>
      <c r="M1793" s="335" t="e">
        <f t="shared" si="1317"/>
        <v>#DIV/0!</v>
      </c>
      <c r="N1793" s="329">
        <f t="shared" si="1313"/>
        <v>0</v>
      </c>
    </row>
    <row r="1794" spans="1:14" ht="12.6">
      <c r="A1794" s="84" t="s">
        <v>893</v>
      </c>
      <c r="B1794" s="33"/>
      <c r="C1794" s="34" t="s">
        <v>923</v>
      </c>
      <c r="D1794" s="52">
        <v>-90000</v>
      </c>
      <c r="E1794" s="17">
        <v>0</v>
      </c>
      <c r="F1794" s="224">
        <v>-950000</v>
      </c>
      <c r="G1794" s="17">
        <v>300000</v>
      </c>
      <c r="H1794" s="245">
        <f t="shared" si="1327"/>
        <v>-650000</v>
      </c>
      <c r="I1794" s="17">
        <v>150000</v>
      </c>
      <c r="J1794" s="300">
        <f t="shared" si="1328"/>
        <v>-500000</v>
      </c>
      <c r="K1794" s="17">
        <v>-259100</v>
      </c>
      <c r="L1794" s="226">
        <f>-488000+150000</f>
        <v>-338000</v>
      </c>
      <c r="M1794" s="335">
        <f t="shared" si="1317"/>
        <v>-0.32400000000000001</v>
      </c>
      <c r="N1794" s="329">
        <f t="shared" si="1313"/>
        <v>162000</v>
      </c>
    </row>
    <row r="1795" spans="1:14" ht="12.6" hidden="1">
      <c r="A1795" s="84" t="s">
        <v>887</v>
      </c>
      <c r="B1795" s="33"/>
      <c r="C1795" s="34" t="s">
        <v>924</v>
      </c>
      <c r="D1795" s="52">
        <v>-160000</v>
      </c>
      <c r="E1795" s="17">
        <v>0</v>
      </c>
      <c r="F1795" s="224">
        <v>0</v>
      </c>
      <c r="G1795" s="17"/>
      <c r="H1795" s="245">
        <f t="shared" si="1327"/>
        <v>0</v>
      </c>
      <c r="I1795" s="17"/>
      <c r="J1795" s="300">
        <f t="shared" si="1328"/>
        <v>0</v>
      </c>
      <c r="K1795" s="17"/>
      <c r="L1795" s="226"/>
      <c r="M1795" s="335" t="e">
        <f t="shared" si="1317"/>
        <v>#DIV/0!</v>
      </c>
      <c r="N1795" s="329">
        <f t="shared" si="1313"/>
        <v>0</v>
      </c>
    </row>
    <row r="1796" spans="1:14" ht="12.6" hidden="1">
      <c r="A1796" s="84" t="s">
        <v>887</v>
      </c>
      <c r="B1796" s="33"/>
      <c r="C1796" s="34" t="s">
        <v>925</v>
      </c>
      <c r="D1796" s="52">
        <v>-245000</v>
      </c>
      <c r="E1796" s="17">
        <v>0</v>
      </c>
      <c r="F1796" s="224">
        <v>0</v>
      </c>
      <c r="G1796" s="17"/>
      <c r="H1796" s="245">
        <f t="shared" si="1327"/>
        <v>0</v>
      </c>
      <c r="I1796" s="17"/>
      <c r="J1796" s="300">
        <f t="shared" si="1328"/>
        <v>0</v>
      </c>
      <c r="K1796" s="17"/>
      <c r="L1796" s="226"/>
      <c r="M1796" s="335" t="e">
        <f t="shared" si="1317"/>
        <v>#DIV/0!</v>
      </c>
      <c r="N1796" s="329">
        <f t="shared" si="1313"/>
        <v>0</v>
      </c>
    </row>
    <row r="1797" spans="1:14" ht="12.6">
      <c r="A1797" s="84" t="s">
        <v>893</v>
      </c>
      <c r="B1797" s="33"/>
      <c r="C1797" s="34" t="s">
        <v>926</v>
      </c>
      <c r="D1797" s="52">
        <v>-230000</v>
      </c>
      <c r="E1797" s="17">
        <v>-175997</v>
      </c>
      <c r="F1797" s="224"/>
      <c r="G1797" s="17">
        <v>-28000</v>
      </c>
      <c r="H1797" s="245">
        <f t="shared" si="1327"/>
        <v>-28000</v>
      </c>
      <c r="I1797" s="17">
        <v>-1400</v>
      </c>
      <c r="J1797" s="300">
        <f t="shared" si="1328"/>
        <v>-29400</v>
      </c>
      <c r="K1797" s="17">
        <v>-29338</v>
      </c>
      <c r="L1797" s="226"/>
      <c r="M1797" s="335">
        <f t="shared" si="1317"/>
        <v>-1</v>
      </c>
      <c r="N1797" s="329">
        <f t="shared" si="1313"/>
        <v>29400</v>
      </c>
    </row>
    <row r="1798" spans="1:14" ht="12.6">
      <c r="A1798" s="84" t="s">
        <v>893</v>
      </c>
      <c r="B1798" s="33"/>
      <c r="C1798" s="34" t="s">
        <v>888</v>
      </c>
      <c r="D1798" s="52">
        <v>-100000</v>
      </c>
      <c r="E1798" s="17">
        <v>0</v>
      </c>
      <c r="F1798" s="224">
        <v>-510000</v>
      </c>
      <c r="G1798" s="17"/>
      <c r="H1798" s="245">
        <f t="shared" si="1327"/>
        <v>-510000</v>
      </c>
      <c r="I1798" s="17">
        <v>33780</v>
      </c>
      <c r="J1798" s="300">
        <f t="shared" si="1328"/>
        <v>-476220</v>
      </c>
      <c r="K1798" s="17">
        <v>-248769</v>
      </c>
      <c r="L1798" s="226"/>
      <c r="M1798" s="335">
        <f t="shared" si="1317"/>
        <v>-1</v>
      </c>
      <c r="N1798" s="329">
        <f t="shared" ref="N1798:N1861" si="1329">L1798-J1798</f>
        <v>476220</v>
      </c>
    </row>
    <row r="1799" spans="1:14" ht="12.6">
      <c r="A1799" s="84" t="s">
        <v>893</v>
      </c>
      <c r="B1799" s="33">
        <v>2024</v>
      </c>
      <c r="C1799" s="34" t="s">
        <v>927</v>
      </c>
      <c r="D1799" s="52"/>
      <c r="E1799" s="17"/>
      <c r="F1799" s="224"/>
      <c r="G1799" s="17"/>
      <c r="H1799" s="245"/>
      <c r="I1799" s="17"/>
      <c r="J1799" s="300"/>
      <c r="K1799" s="17"/>
      <c r="L1799" s="194">
        <v>-10000</v>
      </c>
      <c r="M1799" s="335" t="e">
        <f t="shared" si="1317"/>
        <v>#DIV/0!</v>
      </c>
      <c r="N1799" s="329">
        <f t="shared" si="1329"/>
        <v>-10000</v>
      </c>
    </row>
    <row r="1800" spans="1:14" ht="12.6">
      <c r="A1800" s="84" t="s">
        <v>449</v>
      </c>
      <c r="B1800" s="33"/>
      <c r="C1800" s="34" t="s">
        <v>928</v>
      </c>
      <c r="D1800" s="52">
        <v>-133000</v>
      </c>
      <c r="E1800" s="17">
        <v>-36704</v>
      </c>
      <c r="F1800" s="224">
        <v>-50000</v>
      </c>
      <c r="G1800" s="17">
        <v>25000</v>
      </c>
      <c r="H1800" s="245">
        <f t="shared" si="1327"/>
        <v>-25000</v>
      </c>
      <c r="I1800" s="17"/>
      <c r="J1800" s="300">
        <f t="shared" si="1328"/>
        <v>-25000</v>
      </c>
      <c r="K1800" s="17">
        <v>-56480</v>
      </c>
      <c r="L1800" s="226">
        <v>0</v>
      </c>
      <c r="M1800" s="335">
        <f t="shared" si="1317"/>
        <v>-1</v>
      </c>
      <c r="N1800" s="329">
        <f t="shared" si="1329"/>
        <v>25000</v>
      </c>
    </row>
    <row r="1801" spans="1:14" ht="12.6" hidden="1">
      <c r="A1801" s="84" t="s">
        <v>878</v>
      </c>
      <c r="B1801" s="33"/>
      <c r="C1801" s="34" t="s">
        <v>929</v>
      </c>
      <c r="D1801" s="52">
        <v>-275000</v>
      </c>
      <c r="E1801" s="17">
        <v>-38368</v>
      </c>
      <c r="F1801" s="224">
        <v>0</v>
      </c>
      <c r="G1801" s="17"/>
      <c r="H1801" s="245">
        <f t="shared" si="1327"/>
        <v>0</v>
      </c>
      <c r="I1801" s="17"/>
      <c r="J1801" s="300">
        <f t="shared" si="1328"/>
        <v>0</v>
      </c>
      <c r="K1801" s="17"/>
      <c r="L1801" s="226"/>
      <c r="M1801" s="335" t="e">
        <f t="shared" si="1317"/>
        <v>#DIV/0!</v>
      </c>
      <c r="N1801" s="329">
        <f t="shared" si="1329"/>
        <v>0</v>
      </c>
    </row>
    <row r="1802" spans="1:14" ht="12.6">
      <c r="A1802" s="84" t="s">
        <v>878</v>
      </c>
      <c r="B1802" s="33"/>
      <c r="C1802" s="34" t="s">
        <v>899</v>
      </c>
      <c r="D1802" s="52">
        <v>-49000</v>
      </c>
      <c r="E1802" s="17">
        <v>0</v>
      </c>
      <c r="F1802" s="224">
        <v>0</v>
      </c>
      <c r="G1802" s="17"/>
      <c r="H1802" s="245">
        <f t="shared" si="1327"/>
        <v>0</v>
      </c>
      <c r="I1802" s="17">
        <f>-3240-1020</f>
        <v>-4260</v>
      </c>
      <c r="J1802" s="300">
        <f t="shared" si="1328"/>
        <v>-4260</v>
      </c>
      <c r="K1802" s="17">
        <v>-4260</v>
      </c>
      <c r="L1802" s="226">
        <v>-59300</v>
      </c>
      <c r="M1802" s="335">
        <f t="shared" si="1317"/>
        <v>12.92018779342723</v>
      </c>
      <c r="N1802" s="329">
        <f t="shared" si="1329"/>
        <v>-55040</v>
      </c>
    </row>
    <row r="1803" spans="1:14" ht="12.6">
      <c r="A1803" s="84" t="s">
        <v>878</v>
      </c>
      <c r="B1803" s="33"/>
      <c r="C1803" s="34" t="s">
        <v>930</v>
      </c>
      <c r="D1803" s="52">
        <v>-20000</v>
      </c>
      <c r="E1803" s="17">
        <v>-58327</v>
      </c>
      <c r="F1803" s="224">
        <v>-50000</v>
      </c>
      <c r="G1803" s="17"/>
      <c r="H1803" s="245">
        <f t="shared" si="1327"/>
        <v>-50000</v>
      </c>
      <c r="I1803" s="17"/>
      <c r="J1803" s="300">
        <f t="shared" si="1328"/>
        <v>-50000</v>
      </c>
      <c r="K1803" s="17">
        <v>-4558</v>
      </c>
      <c r="L1803" s="226">
        <v>-200000</v>
      </c>
      <c r="M1803" s="335">
        <f t="shared" si="1317"/>
        <v>3</v>
      </c>
      <c r="N1803" s="329">
        <f t="shared" si="1329"/>
        <v>-150000</v>
      </c>
    </row>
    <row r="1804" spans="1:14" ht="12.6">
      <c r="A1804" s="84" t="s">
        <v>931</v>
      </c>
      <c r="B1804" s="33"/>
      <c r="C1804" s="34" t="s">
        <v>932</v>
      </c>
      <c r="D1804" s="52">
        <v>-213000</v>
      </c>
      <c r="E1804" s="17">
        <v>-61675</v>
      </c>
      <c r="F1804" s="224">
        <v>-70000</v>
      </c>
      <c r="G1804" s="17"/>
      <c r="H1804" s="245">
        <f t="shared" si="1327"/>
        <v>-70000</v>
      </c>
      <c r="I1804" s="17"/>
      <c r="J1804" s="300">
        <f t="shared" si="1328"/>
        <v>-70000</v>
      </c>
      <c r="K1804" s="17">
        <v>-74879</v>
      </c>
      <c r="L1804" s="226">
        <v>-50000</v>
      </c>
      <c r="M1804" s="335">
        <f t="shared" si="1317"/>
        <v>-0.2857142857142857</v>
      </c>
      <c r="N1804" s="329">
        <f t="shared" si="1329"/>
        <v>20000</v>
      </c>
    </row>
    <row r="1805" spans="1:14" ht="12.6">
      <c r="A1805" s="84" t="s">
        <v>893</v>
      </c>
      <c r="B1805" s="33"/>
      <c r="C1805" s="34" t="s">
        <v>933</v>
      </c>
      <c r="D1805" s="52">
        <v>-50000</v>
      </c>
      <c r="E1805" s="17">
        <v>0</v>
      </c>
      <c r="F1805" s="224">
        <v>-50000</v>
      </c>
      <c r="G1805" s="17">
        <v>11380</v>
      </c>
      <c r="H1805" s="245">
        <f t="shared" si="1327"/>
        <v>-38620</v>
      </c>
      <c r="I1805" s="17">
        <f>-10000-20000</f>
        <v>-30000</v>
      </c>
      <c r="J1805" s="300">
        <f t="shared" si="1328"/>
        <v>-68620</v>
      </c>
      <c r="K1805" s="17">
        <v>-48578</v>
      </c>
      <c r="L1805" s="226">
        <v>-50000</v>
      </c>
      <c r="M1805" s="335">
        <f t="shared" si="1317"/>
        <v>-0.27134946079860101</v>
      </c>
      <c r="N1805" s="329">
        <f t="shared" si="1329"/>
        <v>18620</v>
      </c>
    </row>
    <row r="1806" spans="1:14" ht="12.6">
      <c r="A1806" s="84" t="s">
        <v>934</v>
      </c>
      <c r="B1806" s="33"/>
      <c r="C1806" s="34" t="s">
        <v>935</v>
      </c>
      <c r="D1806" s="52">
        <v>-40000</v>
      </c>
      <c r="E1806" s="17">
        <v>0</v>
      </c>
      <c r="F1806" s="224">
        <v>-700000</v>
      </c>
      <c r="G1806" s="17">
        <v>700000</v>
      </c>
      <c r="H1806" s="245">
        <f t="shared" si="1327"/>
        <v>0</v>
      </c>
      <c r="I1806" s="17"/>
      <c r="J1806" s="300">
        <f t="shared" si="1328"/>
        <v>0</v>
      </c>
      <c r="K1806" s="17"/>
      <c r="L1806" s="226">
        <v>-700000</v>
      </c>
      <c r="M1806" s="335" t="e">
        <f t="shared" si="1317"/>
        <v>#DIV/0!</v>
      </c>
      <c r="N1806" s="329">
        <f t="shared" si="1329"/>
        <v>-700000</v>
      </c>
    </row>
    <row r="1807" spans="1:14" ht="12.6" hidden="1">
      <c r="A1807" s="84" t="s">
        <v>936</v>
      </c>
      <c r="B1807" s="33"/>
      <c r="C1807" s="34" t="s">
        <v>937</v>
      </c>
      <c r="D1807" s="52">
        <v>0</v>
      </c>
      <c r="E1807" s="17">
        <v>-17118</v>
      </c>
      <c r="F1807" s="224">
        <v>0</v>
      </c>
      <c r="G1807" s="17"/>
      <c r="H1807" s="245">
        <f t="shared" si="1327"/>
        <v>0</v>
      </c>
      <c r="I1807" s="17"/>
      <c r="J1807" s="300">
        <f t="shared" si="1328"/>
        <v>0</v>
      </c>
      <c r="K1807" s="17"/>
      <c r="L1807" s="226"/>
      <c r="M1807" s="335" t="e">
        <f t="shared" ref="M1807:M1868" si="1330">(L1807-J1807)/J1807</f>
        <v>#DIV/0!</v>
      </c>
      <c r="N1807" s="329">
        <f t="shared" si="1329"/>
        <v>0</v>
      </c>
    </row>
    <row r="1808" spans="1:14" ht="12.6" hidden="1">
      <c r="A1808" s="84" t="s">
        <v>934</v>
      </c>
      <c r="B1808" s="33"/>
      <c r="C1808" s="93" t="s">
        <v>938</v>
      </c>
      <c r="D1808" s="52">
        <v>-2150000</v>
      </c>
      <c r="E1808" s="17">
        <v>0</v>
      </c>
      <c r="F1808" s="224">
        <v>0</v>
      </c>
      <c r="G1808" s="17"/>
      <c r="H1808" s="245">
        <f t="shared" si="1327"/>
        <v>0</v>
      </c>
      <c r="I1808" s="17"/>
      <c r="J1808" s="300">
        <f t="shared" si="1328"/>
        <v>0</v>
      </c>
      <c r="K1808" s="17"/>
      <c r="L1808" s="226"/>
      <c r="M1808" s="335" t="e">
        <f t="shared" si="1330"/>
        <v>#DIV/0!</v>
      </c>
      <c r="N1808" s="329">
        <f t="shared" si="1329"/>
        <v>0</v>
      </c>
    </row>
    <row r="1809" spans="1:14" ht="12.6" hidden="1">
      <c r="A1809" s="84" t="s">
        <v>934</v>
      </c>
      <c r="B1809" s="33"/>
      <c r="C1809" s="34" t="s">
        <v>939</v>
      </c>
      <c r="D1809" s="52">
        <v>-45000</v>
      </c>
      <c r="E1809" s="17">
        <v>0</v>
      </c>
      <c r="F1809" s="224">
        <v>0</v>
      </c>
      <c r="G1809" s="17"/>
      <c r="H1809" s="245">
        <f t="shared" si="1327"/>
        <v>0</v>
      </c>
      <c r="I1809" s="17"/>
      <c r="J1809" s="300">
        <f t="shared" si="1328"/>
        <v>0</v>
      </c>
      <c r="K1809" s="17"/>
      <c r="L1809" s="226"/>
      <c r="M1809" s="335" t="e">
        <f t="shared" si="1330"/>
        <v>#DIV/0!</v>
      </c>
      <c r="N1809" s="329">
        <f t="shared" si="1329"/>
        <v>0</v>
      </c>
    </row>
    <row r="1810" spans="1:14" ht="12.6" hidden="1">
      <c r="A1810" s="84" t="s">
        <v>934</v>
      </c>
      <c r="B1810" s="33"/>
      <c r="C1810" s="34" t="s">
        <v>940</v>
      </c>
      <c r="D1810" s="52">
        <v>-60000</v>
      </c>
      <c r="E1810" s="17">
        <v>-57480</v>
      </c>
      <c r="F1810" s="224">
        <v>0</v>
      </c>
      <c r="G1810" s="17"/>
      <c r="H1810" s="245">
        <f t="shared" si="1327"/>
        <v>0</v>
      </c>
      <c r="I1810" s="17"/>
      <c r="J1810" s="300">
        <f t="shared" si="1328"/>
        <v>0</v>
      </c>
      <c r="K1810" s="17"/>
      <c r="L1810" s="226"/>
      <c r="M1810" s="335" t="e">
        <f t="shared" si="1330"/>
        <v>#DIV/0!</v>
      </c>
      <c r="N1810" s="329">
        <f t="shared" si="1329"/>
        <v>0</v>
      </c>
    </row>
    <row r="1811" spans="1:14" ht="12.6" hidden="1">
      <c r="A1811" s="84" t="s">
        <v>934</v>
      </c>
      <c r="B1811" s="33"/>
      <c r="C1811" s="34" t="s">
        <v>941</v>
      </c>
      <c r="D1811" s="52">
        <v>-28100</v>
      </c>
      <c r="E1811" s="17">
        <v>0</v>
      </c>
      <c r="F1811" s="224">
        <v>0</v>
      </c>
      <c r="G1811" s="17"/>
      <c r="H1811" s="245">
        <f t="shared" si="1327"/>
        <v>0</v>
      </c>
      <c r="I1811" s="17"/>
      <c r="J1811" s="300">
        <f t="shared" si="1328"/>
        <v>0</v>
      </c>
      <c r="K1811" s="17"/>
      <c r="L1811" s="226"/>
      <c r="M1811" s="335" t="e">
        <f t="shared" si="1330"/>
        <v>#DIV/0!</v>
      </c>
      <c r="N1811" s="329">
        <f t="shared" si="1329"/>
        <v>0</v>
      </c>
    </row>
    <row r="1812" spans="1:14" ht="12.6" hidden="1">
      <c r="A1812" s="84" t="s">
        <v>942</v>
      </c>
      <c r="B1812" s="33"/>
      <c r="C1812" s="34" t="s">
        <v>943</v>
      </c>
      <c r="D1812" s="52">
        <v>-363000</v>
      </c>
      <c r="E1812" s="17">
        <v>0</v>
      </c>
      <c r="F1812" s="224">
        <v>0</v>
      </c>
      <c r="G1812" s="17"/>
      <c r="H1812" s="245">
        <f t="shared" si="1327"/>
        <v>0</v>
      </c>
      <c r="I1812" s="17"/>
      <c r="J1812" s="300">
        <f t="shared" si="1328"/>
        <v>0</v>
      </c>
      <c r="K1812" s="17"/>
      <c r="L1812" s="226"/>
      <c r="M1812" s="335" t="e">
        <f t="shared" si="1330"/>
        <v>#DIV/0!</v>
      </c>
      <c r="N1812" s="329">
        <f t="shared" si="1329"/>
        <v>0</v>
      </c>
    </row>
    <row r="1813" spans="1:14" ht="12.6">
      <c r="A1813" s="84" t="s">
        <v>51</v>
      </c>
      <c r="B1813" s="33">
        <v>2024</v>
      </c>
      <c r="C1813" s="34" t="s">
        <v>599</v>
      </c>
      <c r="D1813" s="52">
        <v>-11380</v>
      </c>
      <c r="E1813" s="17">
        <v>-49056</v>
      </c>
      <c r="F1813" s="224">
        <v>-4100000</v>
      </c>
      <c r="G1813" s="17"/>
      <c r="H1813" s="245">
        <f t="shared" si="1327"/>
        <v>-4100000</v>
      </c>
      <c r="I1813" s="17">
        <v>-120000</v>
      </c>
      <c r="J1813" s="300">
        <f t="shared" si="1328"/>
        <v>-4220000</v>
      </c>
      <c r="K1813" s="17">
        <v>-3012918</v>
      </c>
      <c r="L1813" s="194">
        <v>0</v>
      </c>
      <c r="M1813" s="335">
        <f t="shared" si="1330"/>
        <v>-1</v>
      </c>
      <c r="N1813" s="329">
        <f t="shared" si="1329"/>
        <v>4220000</v>
      </c>
    </row>
    <row r="1814" spans="1:14" ht="12.6">
      <c r="A1814" s="84" t="s">
        <v>51</v>
      </c>
      <c r="B1814" s="33"/>
      <c r="C1814" s="34" t="s">
        <v>944</v>
      </c>
      <c r="D1814" s="52"/>
      <c r="E1814" s="17"/>
      <c r="F1814" s="224"/>
      <c r="G1814" s="17"/>
      <c r="H1814" s="245"/>
      <c r="I1814" s="17"/>
      <c r="J1814" s="300">
        <f t="shared" si="1328"/>
        <v>0</v>
      </c>
      <c r="K1814" s="17"/>
      <c r="L1814" s="226">
        <v>-45000</v>
      </c>
      <c r="M1814" s="335" t="e">
        <f t="shared" si="1330"/>
        <v>#DIV/0!</v>
      </c>
      <c r="N1814" s="329">
        <f t="shared" si="1329"/>
        <v>-45000</v>
      </c>
    </row>
    <row r="1815" spans="1:14" ht="12.6">
      <c r="A1815" s="84" t="s">
        <v>43</v>
      </c>
      <c r="B1815" s="33"/>
      <c r="C1815" s="34" t="s">
        <v>945</v>
      </c>
      <c r="D1815" s="52">
        <v>-111385</v>
      </c>
      <c r="E1815" s="17">
        <v>-1785415</v>
      </c>
      <c r="F1815" s="224">
        <v>0</v>
      </c>
      <c r="G1815" s="17"/>
      <c r="H1815" s="245">
        <f t="shared" si="1327"/>
        <v>0</v>
      </c>
      <c r="I1815" s="17">
        <v>-15311</v>
      </c>
      <c r="J1815" s="300">
        <f t="shared" si="1328"/>
        <v>-15311</v>
      </c>
      <c r="K1815" s="17">
        <v>-15312</v>
      </c>
      <c r="L1815" s="226"/>
      <c r="M1815" s="335">
        <f t="shared" si="1330"/>
        <v>-1</v>
      </c>
      <c r="N1815" s="329">
        <f t="shared" si="1329"/>
        <v>15311</v>
      </c>
    </row>
    <row r="1816" spans="1:14" ht="12.6" hidden="1">
      <c r="A1816" s="84" t="s">
        <v>666</v>
      </c>
      <c r="B1816" s="33"/>
      <c r="C1816" s="34" t="s">
        <v>946</v>
      </c>
      <c r="D1816" s="52">
        <v>-140000</v>
      </c>
      <c r="E1816" s="17">
        <v>0</v>
      </c>
      <c r="F1816" s="224">
        <v>0</v>
      </c>
      <c r="G1816" s="17"/>
      <c r="H1816" s="245">
        <f t="shared" si="1327"/>
        <v>0</v>
      </c>
      <c r="I1816" s="17"/>
      <c r="J1816" s="300">
        <f t="shared" si="1328"/>
        <v>0</v>
      </c>
      <c r="K1816" s="17"/>
      <c r="L1816" s="226"/>
      <c r="M1816" s="335" t="e">
        <f t="shared" si="1330"/>
        <v>#DIV/0!</v>
      </c>
      <c r="N1816" s="329">
        <f t="shared" si="1329"/>
        <v>0</v>
      </c>
    </row>
    <row r="1817" spans="1:14" ht="12.6" hidden="1">
      <c r="A1817" s="86" t="s">
        <v>666</v>
      </c>
      <c r="B1817" s="25"/>
      <c r="C1817" s="34" t="s">
        <v>947</v>
      </c>
      <c r="D1817" s="52">
        <v>-45000</v>
      </c>
      <c r="E1817" s="17">
        <v>0</v>
      </c>
      <c r="F1817" s="224">
        <v>0</v>
      </c>
      <c r="G1817" s="17"/>
      <c r="H1817" s="245">
        <f t="shared" si="1327"/>
        <v>0</v>
      </c>
      <c r="I1817" s="17"/>
      <c r="J1817" s="300">
        <f t="shared" si="1328"/>
        <v>0</v>
      </c>
      <c r="K1817" s="17"/>
      <c r="L1817" s="226"/>
      <c r="M1817" s="335" t="e">
        <f t="shared" si="1330"/>
        <v>#DIV/0!</v>
      </c>
      <c r="N1817" s="329">
        <f t="shared" si="1329"/>
        <v>0</v>
      </c>
    </row>
    <row r="1818" spans="1:14" ht="12.6" hidden="1">
      <c r="A1818" s="86" t="s">
        <v>934</v>
      </c>
      <c r="B1818" s="25"/>
      <c r="C1818" s="34" t="s">
        <v>948</v>
      </c>
      <c r="D1818" s="52">
        <v>0</v>
      </c>
      <c r="E1818" s="17">
        <v>-602997</v>
      </c>
      <c r="F1818" s="224">
        <v>0</v>
      </c>
      <c r="G1818" s="17"/>
      <c r="H1818" s="245">
        <f t="shared" si="1327"/>
        <v>0</v>
      </c>
      <c r="I1818" s="17"/>
      <c r="J1818" s="300">
        <f t="shared" si="1328"/>
        <v>0</v>
      </c>
      <c r="K1818" s="17"/>
      <c r="L1818" s="226"/>
      <c r="M1818" s="335" t="e">
        <f t="shared" si="1330"/>
        <v>#DIV/0!</v>
      </c>
      <c r="N1818" s="329">
        <f t="shared" si="1329"/>
        <v>0</v>
      </c>
    </row>
    <row r="1819" spans="1:14" ht="12.6" hidden="1">
      <c r="A1819" s="86"/>
      <c r="B1819" s="25"/>
      <c r="C1819" s="34" t="s">
        <v>949</v>
      </c>
      <c r="D1819" s="52"/>
      <c r="E1819" s="17">
        <v>0</v>
      </c>
      <c r="F1819" s="224">
        <v>-469920</v>
      </c>
      <c r="G1819" s="17"/>
      <c r="H1819" s="245">
        <f t="shared" si="1327"/>
        <v>-469920</v>
      </c>
      <c r="I1819" s="17">
        <v>469920</v>
      </c>
      <c r="J1819" s="300">
        <f t="shared" si="1328"/>
        <v>0</v>
      </c>
      <c r="K1819" s="17"/>
      <c r="L1819" s="226"/>
      <c r="M1819" s="335" t="e">
        <f t="shared" si="1330"/>
        <v>#DIV/0!</v>
      </c>
      <c r="N1819" s="329">
        <f t="shared" si="1329"/>
        <v>0</v>
      </c>
    </row>
    <row r="1820" spans="1:14" ht="12.6" hidden="1">
      <c r="A1820" s="86" t="s">
        <v>934</v>
      </c>
      <c r="B1820" s="25"/>
      <c r="C1820" s="34" t="s">
        <v>950</v>
      </c>
      <c r="D1820" s="52">
        <v>0</v>
      </c>
      <c r="E1820" s="17">
        <v>-448858</v>
      </c>
      <c r="F1820" s="224">
        <v>0</v>
      </c>
      <c r="G1820" s="17"/>
      <c r="H1820" s="245">
        <f t="shared" si="1327"/>
        <v>0</v>
      </c>
      <c r="I1820" s="17"/>
      <c r="J1820" s="300">
        <f t="shared" si="1328"/>
        <v>0</v>
      </c>
      <c r="K1820" s="17"/>
      <c r="L1820" s="226"/>
      <c r="M1820" s="335" t="e">
        <f t="shared" si="1330"/>
        <v>#DIV/0!</v>
      </c>
      <c r="N1820" s="329">
        <f t="shared" si="1329"/>
        <v>0</v>
      </c>
    </row>
    <row r="1821" spans="1:14" ht="12.6" hidden="1">
      <c r="A1821" s="86" t="s">
        <v>934</v>
      </c>
      <c r="B1821" s="25"/>
      <c r="C1821" s="34" t="s">
        <v>951</v>
      </c>
      <c r="D1821" s="52">
        <v>0</v>
      </c>
      <c r="E1821" s="17">
        <v>0</v>
      </c>
      <c r="F1821" s="224">
        <v>0</v>
      </c>
      <c r="G1821" s="17"/>
      <c r="H1821" s="245">
        <f t="shared" si="1327"/>
        <v>0</v>
      </c>
      <c r="I1821" s="17"/>
      <c r="J1821" s="300">
        <f t="shared" si="1328"/>
        <v>0</v>
      </c>
      <c r="K1821" s="17"/>
      <c r="L1821" s="226"/>
      <c r="M1821" s="335" t="e">
        <f t="shared" si="1330"/>
        <v>#DIV/0!</v>
      </c>
      <c r="N1821" s="329">
        <f t="shared" si="1329"/>
        <v>0</v>
      </c>
    </row>
    <row r="1822" spans="1:14" ht="12.95" customHeight="1">
      <c r="A1822" s="86" t="s">
        <v>658</v>
      </c>
      <c r="B1822" s="25">
        <v>2024</v>
      </c>
      <c r="C1822" s="102" t="s">
        <v>952</v>
      </c>
      <c r="D1822" s="52">
        <v>-75000</v>
      </c>
      <c r="E1822" s="17">
        <v>-306900</v>
      </c>
      <c r="F1822" s="224">
        <v>-163000</v>
      </c>
      <c r="G1822" s="17"/>
      <c r="H1822" s="245">
        <f t="shared" si="1327"/>
        <v>-163000</v>
      </c>
      <c r="I1822" s="17">
        <v>-20000</v>
      </c>
      <c r="J1822" s="300">
        <f t="shared" si="1328"/>
        <v>-183000</v>
      </c>
      <c r="K1822" s="17">
        <v>-119615</v>
      </c>
      <c r="L1822" s="194">
        <v>-17000</v>
      </c>
      <c r="M1822" s="335">
        <f t="shared" si="1330"/>
        <v>-0.90710382513661203</v>
      </c>
      <c r="N1822" s="329">
        <f t="shared" si="1329"/>
        <v>166000</v>
      </c>
    </row>
    <row r="1823" spans="1:14" ht="12.6" hidden="1">
      <c r="A1823" s="86" t="s">
        <v>953</v>
      </c>
      <c r="B1823" s="25"/>
      <c r="C1823" s="34" t="s">
        <v>954</v>
      </c>
      <c r="D1823" s="51">
        <v>-33600</v>
      </c>
      <c r="E1823" s="17">
        <v>0</v>
      </c>
      <c r="F1823" s="224">
        <v>0</v>
      </c>
      <c r="G1823" s="17"/>
      <c r="H1823" s="245">
        <f t="shared" si="1327"/>
        <v>0</v>
      </c>
      <c r="I1823" s="17"/>
      <c r="J1823" s="300">
        <f t="shared" si="1328"/>
        <v>0</v>
      </c>
      <c r="K1823" s="17"/>
      <c r="L1823" s="226"/>
      <c r="M1823" s="335" t="e">
        <f t="shared" si="1330"/>
        <v>#DIV/0!</v>
      </c>
      <c r="N1823" s="329">
        <f t="shared" si="1329"/>
        <v>0</v>
      </c>
    </row>
    <row r="1824" spans="1:14" ht="12.6" hidden="1">
      <c r="A1824" s="86"/>
      <c r="B1824" s="25"/>
      <c r="C1824" s="34" t="s">
        <v>955</v>
      </c>
      <c r="D1824" s="52">
        <v>-29000</v>
      </c>
      <c r="E1824" s="17">
        <v>0</v>
      </c>
      <c r="F1824" s="224">
        <v>0</v>
      </c>
      <c r="G1824" s="17"/>
      <c r="H1824" s="245">
        <f t="shared" si="1327"/>
        <v>0</v>
      </c>
      <c r="I1824" s="17"/>
      <c r="J1824" s="300">
        <f t="shared" si="1328"/>
        <v>0</v>
      </c>
      <c r="K1824" s="17"/>
      <c r="L1824" s="226"/>
      <c r="M1824" s="335" t="e">
        <f t="shared" si="1330"/>
        <v>#DIV/0!</v>
      </c>
      <c r="N1824" s="329">
        <f t="shared" si="1329"/>
        <v>0</v>
      </c>
    </row>
    <row r="1825" spans="1:14" ht="12.6" hidden="1">
      <c r="A1825" s="86"/>
      <c r="B1825" s="25"/>
      <c r="C1825" s="34" t="s">
        <v>883</v>
      </c>
      <c r="D1825" s="52">
        <v>0</v>
      </c>
      <c r="E1825" s="17">
        <v>-96528</v>
      </c>
      <c r="F1825" s="224">
        <v>0</v>
      </c>
      <c r="G1825" s="17"/>
      <c r="H1825" s="245">
        <f t="shared" si="1327"/>
        <v>0</v>
      </c>
      <c r="I1825" s="17"/>
      <c r="J1825" s="300">
        <f t="shared" si="1328"/>
        <v>0</v>
      </c>
      <c r="K1825" s="17"/>
      <c r="L1825" s="226"/>
      <c r="M1825" s="335" t="e">
        <f t="shared" si="1330"/>
        <v>#DIV/0!</v>
      </c>
      <c r="N1825" s="329">
        <f t="shared" si="1329"/>
        <v>0</v>
      </c>
    </row>
    <row r="1826" spans="1:14" ht="12.6" hidden="1">
      <c r="A1826" s="86"/>
      <c r="B1826" s="25"/>
      <c r="C1826" s="34" t="s">
        <v>884</v>
      </c>
      <c r="D1826" s="52">
        <v>0</v>
      </c>
      <c r="E1826" s="17">
        <v>-31178</v>
      </c>
      <c r="F1826" s="224">
        <v>0</v>
      </c>
      <c r="G1826" s="17"/>
      <c r="H1826" s="245">
        <f t="shared" si="1327"/>
        <v>0</v>
      </c>
      <c r="I1826" s="17"/>
      <c r="J1826" s="300">
        <f t="shared" si="1328"/>
        <v>0</v>
      </c>
      <c r="K1826" s="17"/>
      <c r="L1826" s="226"/>
      <c r="M1826" s="335" t="e">
        <f t="shared" si="1330"/>
        <v>#DIV/0!</v>
      </c>
      <c r="N1826" s="329">
        <f t="shared" si="1329"/>
        <v>0</v>
      </c>
    </row>
    <row r="1827" spans="1:14" ht="0.6" customHeight="1">
      <c r="A1827" s="86"/>
      <c r="B1827" s="25"/>
      <c r="C1827" s="34" t="s">
        <v>956</v>
      </c>
      <c r="D1827" s="52">
        <v>0</v>
      </c>
      <c r="E1827" s="17">
        <v>0</v>
      </c>
      <c r="F1827" s="224">
        <v>-30000</v>
      </c>
      <c r="G1827" s="17">
        <v>30000</v>
      </c>
      <c r="H1827" s="245">
        <f t="shared" si="1327"/>
        <v>0</v>
      </c>
      <c r="I1827" s="17"/>
      <c r="J1827" s="300">
        <f t="shared" si="1328"/>
        <v>0</v>
      </c>
      <c r="K1827" s="17"/>
      <c r="L1827" s="226"/>
      <c r="M1827" s="335" t="e">
        <f t="shared" si="1330"/>
        <v>#DIV/0!</v>
      </c>
      <c r="N1827" s="329">
        <f t="shared" si="1329"/>
        <v>0</v>
      </c>
    </row>
    <row r="1828" spans="1:14" ht="12.6" hidden="1">
      <c r="A1828" s="86"/>
      <c r="B1828" s="25"/>
      <c r="C1828" s="34" t="s">
        <v>957</v>
      </c>
      <c r="D1828" s="52">
        <v>0</v>
      </c>
      <c r="E1828" s="17">
        <v>-46810</v>
      </c>
      <c r="F1828" s="224">
        <v>0</v>
      </c>
      <c r="G1828" s="17"/>
      <c r="H1828" s="245">
        <f t="shared" si="1327"/>
        <v>0</v>
      </c>
      <c r="I1828" s="17"/>
      <c r="J1828" s="300">
        <f t="shared" si="1328"/>
        <v>0</v>
      </c>
      <c r="K1828" s="17"/>
      <c r="L1828" s="226"/>
      <c r="M1828" s="335" t="e">
        <f t="shared" si="1330"/>
        <v>#DIV/0!</v>
      </c>
      <c r="N1828" s="329">
        <f t="shared" si="1329"/>
        <v>0</v>
      </c>
    </row>
    <row r="1829" spans="1:14" ht="13.5" customHeight="1">
      <c r="A1829" s="86" t="s">
        <v>345</v>
      </c>
      <c r="B1829" s="25"/>
      <c r="C1829" s="34" t="s">
        <v>958</v>
      </c>
      <c r="D1829" s="52">
        <v>0</v>
      </c>
      <c r="E1829" s="17">
        <v>-163735</v>
      </c>
      <c r="F1829" s="224">
        <v>-36386</v>
      </c>
      <c r="G1829" s="17">
        <v>18193</v>
      </c>
      <c r="H1829" s="245">
        <f t="shared" si="1327"/>
        <v>-18193</v>
      </c>
      <c r="I1829" s="17"/>
      <c r="J1829" s="300">
        <f t="shared" si="1328"/>
        <v>-18193</v>
      </c>
      <c r="K1829" s="17">
        <v>-18193</v>
      </c>
      <c r="L1829" s="226"/>
      <c r="M1829" s="335">
        <f t="shared" si="1330"/>
        <v>-1</v>
      </c>
      <c r="N1829" s="329">
        <f t="shared" si="1329"/>
        <v>18193</v>
      </c>
    </row>
    <row r="1830" spans="1:14" ht="12.6" hidden="1">
      <c r="A1830" s="86" t="s">
        <v>959</v>
      </c>
      <c r="B1830" s="25"/>
      <c r="C1830" s="34" t="s">
        <v>960</v>
      </c>
      <c r="D1830" s="52">
        <v>0</v>
      </c>
      <c r="E1830" s="17">
        <v>-451648</v>
      </c>
      <c r="F1830" s="224"/>
      <c r="G1830" s="17"/>
      <c r="H1830" s="245">
        <f t="shared" si="1327"/>
        <v>0</v>
      </c>
      <c r="I1830" s="17"/>
      <c r="J1830" s="300">
        <f t="shared" si="1328"/>
        <v>0</v>
      </c>
      <c r="K1830" s="17"/>
      <c r="L1830" s="226"/>
      <c r="M1830" s="335" t="e">
        <f t="shared" si="1330"/>
        <v>#DIV/0!</v>
      </c>
      <c r="N1830" s="329">
        <f t="shared" si="1329"/>
        <v>0</v>
      </c>
    </row>
    <row r="1831" spans="1:14" ht="12.6" hidden="1">
      <c r="A1831" s="86"/>
      <c r="B1831" s="25"/>
      <c r="C1831" s="34" t="s">
        <v>961</v>
      </c>
      <c r="D1831" s="52">
        <v>0</v>
      </c>
      <c r="E1831" s="17">
        <v>-21852</v>
      </c>
      <c r="F1831" s="224">
        <v>0</v>
      </c>
      <c r="G1831" s="17"/>
      <c r="H1831" s="245">
        <f t="shared" si="1327"/>
        <v>0</v>
      </c>
      <c r="I1831" s="17"/>
      <c r="J1831" s="300">
        <f t="shared" si="1328"/>
        <v>0</v>
      </c>
      <c r="K1831" s="17"/>
      <c r="L1831" s="226"/>
      <c r="M1831" s="335" t="e">
        <f t="shared" si="1330"/>
        <v>#DIV/0!</v>
      </c>
      <c r="N1831" s="329">
        <f t="shared" si="1329"/>
        <v>0</v>
      </c>
    </row>
    <row r="1832" spans="1:14" ht="12.6" hidden="1">
      <c r="A1832" s="86"/>
      <c r="B1832" s="25"/>
      <c r="C1832" s="34" t="s">
        <v>962</v>
      </c>
      <c r="D1832" s="52">
        <v>0</v>
      </c>
      <c r="E1832" s="17">
        <v>0</v>
      </c>
      <c r="F1832" s="224"/>
      <c r="G1832" s="17"/>
      <c r="H1832" s="245">
        <f t="shared" si="1327"/>
        <v>0</v>
      </c>
      <c r="I1832" s="17"/>
      <c r="J1832" s="300">
        <f t="shared" si="1328"/>
        <v>0</v>
      </c>
      <c r="K1832" s="17"/>
      <c r="L1832" s="226"/>
      <c r="M1832" s="335" t="e">
        <f t="shared" si="1330"/>
        <v>#DIV/0!</v>
      </c>
      <c r="N1832" s="329">
        <f t="shared" si="1329"/>
        <v>0</v>
      </c>
    </row>
    <row r="1833" spans="1:14" ht="12.6">
      <c r="A1833" s="86"/>
      <c r="B1833" s="25"/>
      <c r="C1833" s="34" t="s">
        <v>889</v>
      </c>
      <c r="D1833" s="52"/>
      <c r="E1833" s="17">
        <v>0</v>
      </c>
      <c r="F1833" s="224">
        <v>0</v>
      </c>
      <c r="G1833" s="17"/>
      <c r="H1833" s="245">
        <f t="shared" si="1327"/>
        <v>0</v>
      </c>
      <c r="I1833" s="17"/>
      <c r="J1833" s="300">
        <f t="shared" si="1328"/>
        <v>0</v>
      </c>
      <c r="K1833" s="17"/>
      <c r="L1833" s="226">
        <v>-25000</v>
      </c>
      <c r="M1833" s="335" t="e">
        <f t="shared" si="1330"/>
        <v>#DIV/0!</v>
      </c>
      <c r="N1833" s="329">
        <f t="shared" si="1329"/>
        <v>-25000</v>
      </c>
    </row>
    <row r="1834" spans="1:14" ht="1.5" hidden="1" customHeight="1">
      <c r="A1834" s="86"/>
      <c r="B1834" s="25"/>
      <c r="C1834" s="34" t="s">
        <v>963</v>
      </c>
      <c r="D1834" s="52"/>
      <c r="E1834" s="17">
        <v>-26404</v>
      </c>
      <c r="F1834" s="224"/>
      <c r="G1834" s="17"/>
      <c r="H1834" s="245">
        <f t="shared" si="1327"/>
        <v>0</v>
      </c>
      <c r="I1834" s="17"/>
      <c r="J1834" s="300">
        <f t="shared" si="1328"/>
        <v>0</v>
      </c>
      <c r="K1834" s="17"/>
      <c r="L1834" s="226"/>
      <c r="M1834" s="335" t="e">
        <f t="shared" si="1330"/>
        <v>#DIV/0!</v>
      </c>
      <c r="N1834" s="329">
        <f t="shared" si="1329"/>
        <v>0</v>
      </c>
    </row>
    <row r="1835" spans="1:14" ht="12.6">
      <c r="A1835" s="86"/>
      <c r="B1835" s="25"/>
      <c r="C1835" s="34" t="s">
        <v>890</v>
      </c>
      <c r="D1835" s="52"/>
      <c r="E1835" s="17">
        <v>0</v>
      </c>
      <c r="F1835" s="224">
        <v>-53487</v>
      </c>
      <c r="G1835" s="17">
        <v>31210</v>
      </c>
      <c r="H1835" s="245">
        <f t="shared" ref="H1835:H1846" si="1331">+G1835+F1835</f>
        <v>-22277</v>
      </c>
      <c r="I1835" s="17">
        <v>7647</v>
      </c>
      <c r="J1835" s="300">
        <f t="shared" ref="J1835:J1859" si="1332">+I1835+H1835</f>
        <v>-14630</v>
      </c>
      <c r="K1835" s="17">
        <v>-14630</v>
      </c>
      <c r="L1835" s="226"/>
      <c r="M1835" s="335">
        <f t="shared" si="1330"/>
        <v>-1</v>
      </c>
      <c r="N1835" s="329">
        <f t="shared" si="1329"/>
        <v>14630</v>
      </c>
    </row>
    <row r="1836" spans="1:14" ht="12" customHeight="1">
      <c r="A1836" s="86" t="s">
        <v>325</v>
      </c>
      <c r="B1836" s="25"/>
      <c r="C1836" s="34" t="s">
        <v>964</v>
      </c>
      <c r="D1836" s="52"/>
      <c r="E1836" s="17">
        <v>0</v>
      </c>
      <c r="F1836" s="224">
        <v>-120000</v>
      </c>
      <c r="G1836" s="17"/>
      <c r="H1836" s="245">
        <f t="shared" si="1331"/>
        <v>-120000</v>
      </c>
      <c r="I1836" s="17">
        <v>-2400</v>
      </c>
      <c r="J1836" s="300">
        <f t="shared" si="1332"/>
        <v>-122400</v>
      </c>
      <c r="K1836" s="17">
        <v>-122400</v>
      </c>
      <c r="L1836" s="226"/>
      <c r="M1836" s="335">
        <f t="shared" si="1330"/>
        <v>-1</v>
      </c>
      <c r="N1836" s="329">
        <f t="shared" si="1329"/>
        <v>122400</v>
      </c>
    </row>
    <row r="1837" spans="1:14" ht="0.6" hidden="1" customHeight="1">
      <c r="A1837" s="86"/>
      <c r="B1837" s="25"/>
      <c r="C1837" s="34" t="s">
        <v>965</v>
      </c>
      <c r="D1837" s="52"/>
      <c r="E1837" s="17">
        <v>-21887</v>
      </c>
      <c r="F1837" s="224"/>
      <c r="G1837" s="17"/>
      <c r="H1837" s="245">
        <f t="shared" si="1331"/>
        <v>0</v>
      </c>
      <c r="I1837" s="17"/>
      <c r="J1837" s="300">
        <f t="shared" si="1332"/>
        <v>0</v>
      </c>
      <c r="K1837" s="17"/>
      <c r="L1837" s="35"/>
      <c r="M1837" s="335" t="e">
        <f t="shared" si="1330"/>
        <v>#DIV/0!</v>
      </c>
      <c r="N1837" s="329">
        <f t="shared" si="1329"/>
        <v>0</v>
      </c>
    </row>
    <row r="1838" spans="1:14" ht="12.6" hidden="1">
      <c r="A1838" s="86" t="s">
        <v>966</v>
      </c>
      <c r="B1838" s="25"/>
      <c r="C1838" s="34" t="s">
        <v>967</v>
      </c>
      <c r="D1838" s="52"/>
      <c r="E1838" s="17">
        <v>0</v>
      </c>
      <c r="F1838" s="224">
        <v>-50000</v>
      </c>
      <c r="G1838" s="17"/>
      <c r="H1838" s="245">
        <f t="shared" si="1331"/>
        <v>-50000</v>
      </c>
      <c r="I1838" s="17">
        <v>50000</v>
      </c>
      <c r="J1838" s="300">
        <f t="shared" si="1332"/>
        <v>0</v>
      </c>
      <c r="K1838" s="70"/>
      <c r="L1838" s="226"/>
      <c r="M1838" s="335" t="e">
        <f t="shared" si="1330"/>
        <v>#DIV/0!</v>
      </c>
      <c r="N1838" s="329">
        <f t="shared" si="1329"/>
        <v>0</v>
      </c>
    </row>
    <row r="1839" spans="1:14" ht="12.6">
      <c r="A1839" s="86" t="s">
        <v>968</v>
      </c>
      <c r="B1839" s="307"/>
      <c r="C1839" s="119" t="s">
        <v>969</v>
      </c>
      <c r="D1839" s="52"/>
      <c r="E1839" s="17">
        <v>0</v>
      </c>
      <c r="F1839" s="224">
        <v>-100000</v>
      </c>
      <c r="G1839" s="17">
        <v>25000</v>
      </c>
      <c r="H1839" s="245">
        <f t="shared" si="1331"/>
        <v>-75000</v>
      </c>
      <c r="I1839" s="17">
        <v>-25000</v>
      </c>
      <c r="J1839" s="300">
        <f>+I1839+H1839</f>
        <v>-100000</v>
      </c>
      <c r="K1839" s="17">
        <v>-56306</v>
      </c>
      <c r="L1839" s="194">
        <f>-575000-40000-3000000</f>
        <v>-3615000</v>
      </c>
      <c r="M1839" s="335">
        <f t="shared" si="1330"/>
        <v>35.15</v>
      </c>
      <c r="N1839" s="329">
        <f t="shared" si="1329"/>
        <v>-3515000</v>
      </c>
    </row>
    <row r="1840" spans="1:14" ht="12.6">
      <c r="A1840" s="86"/>
      <c r="B1840" s="307"/>
      <c r="C1840" s="119" t="s">
        <v>970</v>
      </c>
      <c r="D1840" s="52"/>
      <c r="E1840" s="17"/>
      <c r="F1840" s="224"/>
      <c r="G1840" s="17"/>
      <c r="H1840" s="245"/>
      <c r="I1840" s="17"/>
      <c r="J1840" s="300"/>
      <c r="K1840" s="17"/>
      <c r="L1840" s="194">
        <v>-255000</v>
      </c>
      <c r="M1840" s="335" t="e">
        <f t="shared" si="1330"/>
        <v>#DIV/0!</v>
      </c>
      <c r="N1840" s="329">
        <f t="shared" si="1329"/>
        <v>-255000</v>
      </c>
    </row>
    <row r="1841" spans="1:14" ht="12.6">
      <c r="A1841" s="86"/>
      <c r="B1841" s="307"/>
      <c r="C1841" s="304" t="s">
        <v>971</v>
      </c>
      <c r="D1841" s="52"/>
      <c r="E1841" s="17"/>
      <c r="F1841" s="224"/>
      <c r="G1841" s="17"/>
      <c r="H1841" s="245"/>
      <c r="I1841" s="17"/>
      <c r="J1841" s="300"/>
      <c r="K1841" s="17"/>
      <c r="L1841" s="194">
        <v>-1000000</v>
      </c>
      <c r="M1841" s="335" t="e">
        <f t="shared" si="1330"/>
        <v>#DIV/0!</v>
      </c>
      <c r="N1841" s="329">
        <f t="shared" si="1329"/>
        <v>-1000000</v>
      </c>
    </row>
    <row r="1842" spans="1:14" ht="12.6">
      <c r="A1842" s="84" t="s">
        <v>893</v>
      </c>
      <c r="B1842" s="25"/>
      <c r="C1842" s="119" t="s">
        <v>972</v>
      </c>
      <c r="D1842" s="52"/>
      <c r="E1842" s="17">
        <v>0</v>
      </c>
      <c r="F1842" s="224">
        <v>-150000</v>
      </c>
      <c r="G1842" s="17">
        <v>25000</v>
      </c>
      <c r="H1842" s="245">
        <f t="shared" si="1331"/>
        <v>-125000</v>
      </c>
      <c r="I1842" s="17">
        <f>125000-11635</f>
        <v>113365</v>
      </c>
      <c r="J1842" s="300">
        <f t="shared" si="1332"/>
        <v>-11635</v>
      </c>
      <c r="K1842" s="17">
        <v>-14544</v>
      </c>
      <c r="L1842" s="226">
        <v>-180000</v>
      </c>
      <c r="M1842" s="335">
        <f t="shared" si="1330"/>
        <v>14.470562956596476</v>
      </c>
      <c r="N1842" s="329">
        <f t="shared" si="1329"/>
        <v>-168365</v>
      </c>
    </row>
    <row r="1843" spans="1:14" ht="12.6">
      <c r="A1843" s="86"/>
      <c r="B1843" s="25"/>
      <c r="C1843" s="119" t="s">
        <v>973</v>
      </c>
      <c r="D1843" s="52"/>
      <c r="E1843" s="17"/>
      <c r="F1843" s="224"/>
      <c r="G1843" s="17"/>
      <c r="H1843" s="245"/>
      <c r="I1843" s="17"/>
      <c r="J1843" s="300"/>
      <c r="K1843" s="17"/>
      <c r="L1843" s="226">
        <v>-200000</v>
      </c>
      <c r="M1843" s="335" t="e">
        <f t="shared" si="1330"/>
        <v>#DIV/0!</v>
      </c>
      <c r="N1843" s="329">
        <f t="shared" si="1329"/>
        <v>-200000</v>
      </c>
    </row>
    <row r="1844" spans="1:14" ht="12.6">
      <c r="A1844" s="86" t="s">
        <v>714</v>
      </c>
      <c r="B1844" s="307">
        <v>2024</v>
      </c>
      <c r="C1844" s="119" t="s">
        <v>974</v>
      </c>
      <c r="D1844" s="52"/>
      <c r="E1844" s="17">
        <v>0</v>
      </c>
      <c r="F1844" s="224">
        <v>-40000</v>
      </c>
      <c r="G1844" s="17"/>
      <c r="H1844" s="245">
        <f t="shared" si="1331"/>
        <v>-40000</v>
      </c>
      <c r="I1844" s="17">
        <v>-13000</v>
      </c>
      <c r="J1844" s="300">
        <f t="shared" si="1332"/>
        <v>-53000</v>
      </c>
      <c r="K1844" s="17">
        <v>-1900</v>
      </c>
      <c r="L1844" s="194">
        <v>-88000</v>
      </c>
      <c r="M1844" s="335">
        <f t="shared" si="1330"/>
        <v>0.660377358490566</v>
      </c>
      <c r="N1844" s="329">
        <f t="shared" si="1329"/>
        <v>-35000</v>
      </c>
    </row>
    <row r="1845" spans="1:14" ht="12.6">
      <c r="A1845" s="86" t="s">
        <v>526</v>
      </c>
      <c r="B1845" s="25"/>
      <c r="C1845" s="119" t="s">
        <v>975</v>
      </c>
      <c r="D1845" s="52"/>
      <c r="E1845" s="17">
        <v>0</v>
      </c>
      <c r="F1845" s="224">
        <v>-25000</v>
      </c>
      <c r="G1845" s="17"/>
      <c r="H1845" s="245">
        <f t="shared" si="1331"/>
        <v>-25000</v>
      </c>
      <c r="I1845" s="17"/>
      <c r="J1845" s="300">
        <f t="shared" si="1332"/>
        <v>-25000</v>
      </c>
      <c r="K1845" s="70"/>
      <c r="L1845" s="226"/>
      <c r="M1845" s="335">
        <f t="shared" si="1330"/>
        <v>-1</v>
      </c>
      <c r="N1845" s="329">
        <f t="shared" si="1329"/>
        <v>25000</v>
      </c>
    </row>
    <row r="1846" spans="1:14" ht="12.6">
      <c r="A1846" s="86" t="s">
        <v>895</v>
      </c>
      <c r="B1846" s="25"/>
      <c r="C1846" s="119" t="s">
        <v>896</v>
      </c>
      <c r="D1846" s="52"/>
      <c r="E1846" s="17">
        <v>0</v>
      </c>
      <c r="F1846" s="224"/>
      <c r="G1846" s="17">
        <v>-22560</v>
      </c>
      <c r="H1846" s="245">
        <f t="shared" si="1331"/>
        <v>-22560</v>
      </c>
      <c r="I1846" s="17">
        <v>1352</v>
      </c>
      <c r="J1846" s="300">
        <f t="shared" si="1332"/>
        <v>-21208</v>
      </c>
      <c r="K1846" s="146">
        <v>-21208</v>
      </c>
      <c r="L1846" s="226"/>
      <c r="M1846" s="335">
        <f t="shared" si="1330"/>
        <v>-1</v>
      </c>
      <c r="N1846" s="329">
        <f t="shared" si="1329"/>
        <v>21208</v>
      </c>
    </row>
    <row r="1847" spans="1:14" ht="12.6">
      <c r="A1847" s="86" t="s">
        <v>369</v>
      </c>
      <c r="B1847" s="25"/>
      <c r="C1847" s="119" t="s">
        <v>976</v>
      </c>
      <c r="D1847" s="52"/>
      <c r="E1847" s="17"/>
      <c r="F1847" s="224"/>
      <c r="G1847" s="17"/>
      <c r="H1847" s="245"/>
      <c r="I1847" s="226">
        <v>-19936</v>
      </c>
      <c r="J1847" s="300">
        <f t="shared" si="1332"/>
        <v>-19936</v>
      </c>
      <c r="K1847" s="17">
        <v>-19936</v>
      </c>
      <c r="L1847" s="226"/>
      <c r="M1847" s="335">
        <f t="shared" si="1330"/>
        <v>-1</v>
      </c>
      <c r="N1847" s="329">
        <f t="shared" si="1329"/>
        <v>19936</v>
      </c>
    </row>
    <row r="1848" spans="1:14" ht="12.6">
      <c r="A1848" s="86" t="s">
        <v>521</v>
      </c>
      <c r="B1848" s="25"/>
      <c r="C1848" s="119" t="s">
        <v>977</v>
      </c>
      <c r="D1848" s="52"/>
      <c r="E1848" s="17"/>
      <c r="F1848" s="224"/>
      <c r="G1848" s="17"/>
      <c r="H1848" s="245"/>
      <c r="I1848" s="17">
        <v>-17000</v>
      </c>
      <c r="J1848" s="300">
        <f t="shared" si="1332"/>
        <v>-17000</v>
      </c>
      <c r="K1848" s="17">
        <v>-15498</v>
      </c>
      <c r="L1848" s="226"/>
      <c r="M1848" s="335">
        <f t="shared" si="1330"/>
        <v>-1</v>
      </c>
      <c r="N1848" s="329">
        <f t="shared" si="1329"/>
        <v>17000</v>
      </c>
    </row>
    <row r="1849" spans="1:14" ht="14.1" customHeight="1">
      <c r="A1849" s="86" t="s">
        <v>895</v>
      </c>
      <c r="B1849" s="25"/>
      <c r="C1849" s="119" t="s">
        <v>897</v>
      </c>
      <c r="D1849" s="52"/>
      <c r="E1849" s="17"/>
      <c r="F1849" s="224"/>
      <c r="G1849" s="17"/>
      <c r="H1849" s="245"/>
      <c r="I1849" s="17">
        <v>-95171</v>
      </c>
      <c r="J1849" s="300">
        <f t="shared" si="1332"/>
        <v>-95171</v>
      </c>
      <c r="K1849" s="17"/>
      <c r="L1849" s="226"/>
      <c r="M1849" s="335">
        <f t="shared" si="1330"/>
        <v>-1</v>
      </c>
      <c r="N1849" s="329">
        <f t="shared" si="1329"/>
        <v>95171</v>
      </c>
    </row>
    <row r="1850" spans="1:14" ht="14.1" customHeight="1">
      <c r="A1850" s="86" t="s">
        <v>369</v>
      </c>
      <c r="B1850" s="25"/>
      <c r="C1850" s="119" t="s">
        <v>978</v>
      </c>
      <c r="D1850" s="52"/>
      <c r="E1850" s="17"/>
      <c r="F1850" s="224"/>
      <c r="G1850" s="17"/>
      <c r="H1850" s="245"/>
      <c r="I1850" s="17">
        <v>-38080</v>
      </c>
      <c r="J1850" s="300">
        <f t="shared" si="1332"/>
        <v>-38080</v>
      </c>
      <c r="K1850" s="17">
        <v>-45096</v>
      </c>
      <c r="L1850" s="226"/>
      <c r="M1850" s="335">
        <f t="shared" si="1330"/>
        <v>-1</v>
      </c>
      <c r="N1850" s="329">
        <f t="shared" si="1329"/>
        <v>38080</v>
      </c>
    </row>
    <row r="1851" spans="1:14" ht="14.1" customHeight="1">
      <c r="A1851" s="86" t="s">
        <v>446</v>
      </c>
      <c r="B1851" s="25"/>
      <c r="C1851" s="119" t="s">
        <v>979</v>
      </c>
      <c r="D1851" s="52"/>
      <c r="E1851" s="17"/>
      <c r="F1851" s="224"/>
      <c r="G1851" s="17"/>
      <c r="H1851" s="245"/>
      <c r="I1851" s="94">
        <f>-8236-1491</f>
        <v>-9727</v>
      </c>
      <c r="J1851" s="300">
        <f t="shared" si="1332"/>
        <v>-9727</v>
      </c>
      <c r="K1851" s="17">
        <v>-7375</v>
      </c>
      <c r="L1851" s="226">
        <v>-10100</v>
      </c>
      <c r="M1851" s="335">
        <f t="shared" si="1330"/>
        <v>3.8346869538398276E-2</v>
      </c>
      <c r="N1851" s="329">
        <f t="shared" si="1329"/>
        <v>-373</v>
      </c>
    </row>
    <row r="1852" spans="1:14" ht="14.1" customHeight="1">
      <c r="A1852" s="86" t="s">
        <v>980</v>
      </c>
      <c r="B1852" s="25"/>
      <c r="C1852" s="119" t="s">
        <v>981</v>
      </c>
      <c r="D1852" s="52"/>
      <c r="E1852" s="17"/>
      <c r="F1852" s="224"/>
      <c r="G1852" s="17"/>
      <c r="H1852" s="245"/>
      <c r="I1852" s="94">
        <f>-119031-23806</f>
        <v>-142837</v>
      </c>
      <c r="J1852" s="300">
        <f t="shared" si="1332"/>
        <v>-142837</v>
      </c>
      <c r="K1852" s="17">
        <v>-94589</v>
      </c>
      <c r="L1852" s="226">
        <v>-148700</v>
      </c>
      <c r="M1852" s="335">
        <f t="shared" si="1330"/>
        <v>4.1046787597051188E-2</v>
      </c>
      <c r="N1852" s="329">
        <f t="shared" si="1329"/>
        <v>-5863</v>
      </c>
    </row>
    <row r="1853" spans="1:14" ht="15" customHeight="1">
      <c r="A1853" s="86"/>
      <c r="B1853" s="25"/>
      <c r="C1853" s="304" t="s">
        <v>900</v>
      </c>
      <c r="D1853" s="52"/>
      <c r="E1853" s="17"/>
      <c r="F1853" s="224"/>
      <c r="G1853" s="17"/>
      <c r="H1853" s="245"/>
      <c r="I1853" s="17"/>
      <c r="J1853" s="300"/>
      <c r="K1853" s="17"/>
      <c r="L1853" s="226">
        <v>-145000</v>
      </c>
      <c r="M1853" s="335" t="e">
        <f t="shared" si="1330"/>
        <v>#DIV/0!</v>
      </c>
      <c r="N1853" s="329">
        <f t="shared" si="1329"/>
        <v>-145000</v>
      </c>
    </row>
    <row r="1854" spans="1:14" ht="12.6">
      <c r="A1854" s="86" t="s">
        <v>895</v>
      </c>
      <c r="B1854" s="25" t="s">
        <v>982</v>
      </c>
      <c r="C1854" s="304" t="s">
        <v>901</v>
      </c>
      <c r="D1854" s="52"/>
      <c r="E1854" s="17"/>
      <c r="F1854" s="224"/>
      <c r="G1854" s="17"/>
      <c r="H1854" s="245"/>
      <c r="I1854" s="17"/>
      <c r="J1854" s="300"/>
      <c r="K1854" s="17"/>
      <c r="L1854" s="226">
        <v>-15200</v>
      </c>
      <c r="M1854" s="335" t="e">
        <f t="shared" si="1330"/>
        <v>#DIV/0!</v>
      </c>
      <c r="N1854" s="329">
        <f t="shared" si="1329"/>
        <v>-15200</v>
      </c>
    </row>
    <row r="1855" spans="1:14" ht="12.6">
      <c r="A1855" s="86"/>
      <c r="B1855" s="307"/>
      <c r="C1855" s="304" t="s">
        <v>983</v>
      </c>
      <c r="D1855" s="52"/>
      <c r="E1855" s="17"/>
      <c r="F1855" s="224"/>
      <c r="G1855" s="17"/>
      <c r="H1855" s="245"/>
      <c r="I1855" s="17"/>
      <c r="J1855" s="300"/>
      <c r="K1855" s="17"/>
      <c r="L1855" s="194">
        <v>-500000</v>
      </c>
      <c r="M1855" s="335" t="e">
        <f t="shared" si="1330"/>
        <v>#DIV/0!</v>
      </c>
      <c r="N1855" s="329">
        <f t="shared" si="1329"/>
        <v>-500000</v>
      </c>
    </row>
    <row r="1856" spans="1:14" ht="2.1" customHeight="1">
      <c r="A1856" s="86"/>
      <c r="B1856" s="25"/>
      <c r="C1856" s="304"/>
      <c r="D1856" s="52"/>
      <c r="E1856" s="17"/>
      <c r="F1856" s="224"/>
      <c r="G1856" s="17"/>
      <c r="H1856" s="245"/>
      <c r="I1856" s="17"/>
      <c r="J1856" s="300"/>
      <c r="K1856" s="17"/>
      <c r="L1856" s="226"/>
      <c r="M1856" s="335"/>
      <c r="N1856" s="329">
        <f t="shared" si="1329"/>
        <v>0</v>
      </c>
    </row>
    <row r="1857" spans="1:14" ht="12.6" hidden="1">
      <c r="A1857" s="86"/>
      <c r="B1857" s="25"/>
      <c r="C1857" s="304"/>
      <c r="D1857" s="52"/>
      <c r="E1857" s="17"/>
      <c r="F1857" s="224"/>
      <c r="G1857" s="17"/>
      <c r="H1857" s="245"/>
      <c r="I1857" s="17"/>
      <c r="J1857" s="300"/>
      <c r="K1857" s="17"/>
      <c r="L1857" s="226"/>
      <c r="M1857" s="335"/>
      <c r="N1857" s="329">
        <f t="shared" si="1329"/>
        <v>0</v>
      </c>
    </row>
    <row r="1858" spans="1:14" ht="12.6" hidden="1">
      <c r="A1858" s="86"/>
      <c r="B1858" s="25"/>
      <c r="C1858" s="304"/>
      <c r="D1858" s="52"/>
      <c r="E1858" s="17"/>
      <c r="F1858" s="224"/>
      <c r="G1858" s="17"/>
      <c r="H1858" s="245"/>
      <c r="I1858" s="17"/>
      <c r="J1858" s="300"/>
      <c r="K1858" s="17"/>
      <c r="L1858" s="226"/>
      <c r="M1858" s="335"/>
      <c r="N1858" s="329">
        <f t="shared" si="1329"/>
        <v>0</v>
      </c>
    </row>
    <row r="1859" spans="1:14" ht="12.6" hidden="1">
      <c r="A1859" s="86"/>
      <c r="B1859" s="25"/>
      <c r="C1859" s="34"/>
      <c r="D1859" s="52"/>
      <c r="E1859" s="17">
        <v>0</v>
      </c>
      <c r="F1859" s="224">
        <v>0</v>
      </c>
      <c r="G1859" s="17"/>
      <c r="H1859" s="245">
        <f t="shared" ref="H1859" si="1333">+G1859+F1859</f>
        <v>0</v>
      </c>
      <c r="I1859" s="17"/>
      <c r="J1859" s="300">
        <f t="shared" si="1332"/>
        <v>0</v>
      </c>
      <c r="K1859" s="17"/>
      <c r="L1859" s="226"/>
      <c r="M1859" s="335"/>
      <c r="N1859" s="329">
        <f t="shared" si="1329"/>
        <v>0</v>
      </c>
    </row>
    <row r="1860" spans="1:14" s="2" customFormat="1" ht="12.6">
      <c r="A1860" s="87" t="s">
        <v>984</v>
      </c>
      <c r="B1860" s="88" t="s">
        <v>985</v>
      </c>
      <c r="C1860" s="47" t="s">
        <v>986</v>
      </c>
      <c r="D1860" s="129">
        <v>0</v>
      </c>
      <c r="E1860" s="54">
        <v>0</v>
      </c>
      <c r="F1860" s="50">
        <v>0</v>
      </c>
      <c r="G1860" s="54"/>
      <c r="H1860" s="247">
        <f>+F1860+G1860</f>
        <v>0</v>
      </c>
      <c r="I1860" s="54"/>
      <c r="J1860" s="246">
        <f>+H1860+I1860</f>
        <v>0</v>
      </c>
      <c r="K1860" s="54">
        <v>236</v>
      </c>
      <c r="L1860" s="54">
        <v>0</v>
      </c>
      <c r="M1860" s="335"/>
      <c r="N1860" s="329"/>
    </row>
    <row r="1861" spans="1:14" ht="14.1" customHeight="1">
      <c r="A1861" s="45" t="s">
        <v>987</v>
      </c>
      <c r="B1861" s="191">
        <v>65018</v>
      </c>
      <c r="C1861" s="46" t="s">
        <v>988</v>
      </c>
      <c r="D1861" s="53">
        <v>-103390</v>
      </c>
      <c r="E1861" s="54">
        <v>-178527</v>
      </c>
      <c r="F1861" s="50">
        <v>-340000</v>
      </c>
      <c r="G1861" s="195">
        <v>-261000</v>
      </c>
      <c r="H1861" s="247">
        <f t="shared" ref="H1861" si="1334">+G1861+F1861</f>
        <v>-601000</v>
      </c>
      <c r="I1861" s="195"/>
      <c r="J1861" s="246">
        <f t="shared" ref="J1861" si="1335">+I1861+H1861</f>
        <v>-601000</v>
      </c>
      <c r="K1861" s="54">
        <v>-364680</v>
      </c>
      <c r="L1861" s="54">
        <v>-831000</v>
      </c>
      <c r="M1861" s="335">
        <f t="shared" si="1330"/>
        <v>0.38269550748752079</v>
      </c>
      <c r="N1861" s="329">
        <f t="shared" si="1329"/>
        <v>-230000</v>
      </c>
    </row>
    <row r="1862" spans="1:14" ht="14.1" customHeight="1">
      <c r="A1862" s="28" t="s">
        <v>872</v>
      </c>
      <c r="B1862" s="29"/>
      <c r="C1862" s="89" t="s">
        <v>989</v>
      </c>
      <c r="D1862" s="44">
        <v>-5138960</v>
      </c>
      <c r="E1862" s="42">
        <v>-5778319</v>
      </c>
      <c r="F1862" s="42">
        <f t="shared" ref="F1862:L1862" si="1336">+F1741+F1771+F1783+F1785+F1860+F1861</f>
        <v>-8052279</v>
      </c>
      <c r="G1862" s="42">
        <f t="shared" si="1336"/>
        <v>843388</v>
      </c>
      <c r="H1862" s="248">
        <f t="shared" si="1336"/>
        <v>-7208891</v>
      </c>
      <c r="I1862" s="42">
        <f t="shared" si="1336"/>
        <v>-17833</v>
      </c>
      <c r="J1862" s="248">
        <f t="shared" si="1336"/>
        <v>-7226724</v>
      </c>
      <c r="K1862" s="248">
        <f t="shared" si="1336"/>
        <v>-5417408.8600000003</v>
      </c>
      <c r="L1862" s="42">
        <f t="shared" si="1336"/>
        <v>-10385200</v>
      </c>
      <c r="M1862" s="335">
        <f t="shared" si="1330"/>
        <v>0.43705501967419813</v>
      </c>
      <c r="N1862" s="329">
        <f t="shared" ref="N1862:N1868" si="1337">L1862-J1862</f>
        <v>-3158476</v>
      </c>
    </row>
    <row r="1863" spans="1:14" ht="13.5" customHeight="1">
      <c r="A1863" s="37"/>
      <c r="B1863" s="38"/>
      <c r="C1863" s="30" t="s">
        <v>990</v>
      </c>
      <c r="D1863" s="44">
        <v>-2340561.3999999985</v>
      </c>
      <c r="E1863" s="42">
        <v>-2747832.1400000006</v>
      </c>
      <c r="F1863" s="42">
        <f t="shared" ref="F1863:L1863" si="1338">+F1736+F1862</f>
        <v>-5056858</v>
      </c>
      <c r="G1863" s="42">
        <f t="shared" si="1338"/>
        <v>696729</v>
      </c>
      <c r="H1863" s="248">
        <f t="shared" si="1338"/>
        <v>-4357129</v>
      </c>
      <c r="I1863" s="42">
        <f t="shared" si="1338"/>
        <v>26863</v>
      </c>
      <c r="J1863" s="248">
        <f t="shared" si="1338"/>
        <v>-4326570</v>
      </c>
      <c r="K1863" s="248">
        <f t="shared" si="1338"/>
        <v>-2621123.8100000033</v>
      </c>
      <c r="L1863" s="42">
        <f t="shared" si="1338"/>
        <v>-7244700</v>
      </c>
      <c r="M1863" s="335">
        <f t="shared" si="1330"/>
        <v>0.6744673031986077</v>
      </c>
      <c r="N1863" s="329">
        <f t="shared" si="1337"/>
        <v>-2918130</v>
      </c>
    </row>
    <row r="1864" spans="1:14" ht="14.1" customHeight="1">
      <c r="A1864" s="281"/>
      <c r="B1864" s="281"/>
      <c r="C1864" s="281"/>
      <c r="D1864" s="281"/>
      <c r="E1864" s="281"/>
      <c r="F1864" s="281"/>
      <c r="G1864" s="281"/>
      <c r="H1864" s="281"/>
      <c r="I1864" s="281"/>
      <c r="J1864" s="281"/>
      <c r="K1864" s="281"/>
      <c r="L1864" s="281"/>
      <c r="M1864" s="335"/>
      <c r="N1864" s="329"/>
    </row>
    <row r="1865" spans="1:14" ht="14.1" customHeight="1">
      <c r="A1865" s="106" t="s">
        <v>991</v>
      </c>
      <c r="B1865" s="29"/>
      <c r="C1865" s="89" t="s">
        <v>992</v>
      </c>
      <c r="D1865" s="112"/>
      <c r="E1865" s="35"/>
      <c r="F1865" s="62"/>
      <c r="G1865" s="62"/>
      <c r="H1865" s="244"/>
      <c r="I1865" s="62"/>
      <c r="J1865" s="244"/>
      <c r="K1865" s="35"/>
      <c r="L1865" s="35"/>
      <c r="M1865" s="335"/>
      <c r="N1865" s="329"/>
    </row>
    <row r="1866" spans="1:14" ht="14.1" customHeight="1">
      <c r="A1866" s="105" t="s">
        <v>993</v>
      </c>
      <c r="B1866" s="27"/>
      <c r="C1866" s="83" t="s">
        <v>994</v>
      </c>
      <c r="D1866" s="52">
        <v>3500000</v>
      </c>
      <c r="E1866" s="17">
        <v>2000000</v>
      </c>
      <c r="F1866" s="224">
        <v>5500000</v>
      </c>
      <c r="G1866" s="194"/>
      <c r="H1866" s="245">
        <f t="shared" ref="H1866:H1867" si="1339">+G1866+F1866</f>
        <v>5500000</v>
      </c>
      <c r="I1866" s="194"/>
      <c r="J1866" s="245">
        <f t="shared" ref="J1866" si="1340">+I1866+H1866</f>
        <v>5500000</v>
      </c>
      <c r="K1866" s="17">
        <v>2950000</v>
      </c>
      <c r="L1866" s="226">
        <v>9000000</v>
      </c>
      <c r="M1866" s="335">
        <f t="shared" si="1330"/>
        <v>0.63636363636363635</v>
      </c>
      <c r="N1866" s="329">
        <f t="shared" si="1337"/>
        <v>3500000</v>
      </c>
    </row>
    <row r="1867" spans="1:14" ht="14.1" customHeight="1">
      <c r="A1867" s="84" t="s">
        <v>995</v>
      </c>
      <c r="B1867" s="33"/>
      <c r="C1867" s="34" t="s">
        <v>996</v>
      </c>
      <c r="D1867" s="52">
        <v>-1482447</v>
      </c>
      <c r="E1867" s="17">
        <v>-1574707</v>
      </c>
      <c r="F1867" s="224">
        <v>-1477909</v>
      </c>
      <c r="G1867" s="17"/>
      <c r="H1867" s="245">
        <f t="shared" si="1339"/>
        <v>-1477909</v>
      </c>
      <c r="I1867" s="17"/>
      <c r="J1867" s="245">
        <f>+I1867+H1867</f>
        <v>-1477909</v>
      </c>
      <c r="K1867" s="17">
        <v>-1146893</v>
      </c>
      <c r="L1867" s="226">
        <v>-2227000</v>
      </c>
      <c r="M1867" s="335">
        <f t="shared" si="1330"/>
        <v>0.50685867668442375</v>
      </c>
      <c r="N1867" s="329">
        <f>L1867-J1867</f>
        <v>-749091</v>
      </c>
    </row>
    <row r="1868" spans="1:14" ht="14.1" customHeight="1">
      <c r="A1868" s="28" t="s">
        <v>991</v>
      </c>
      <c r="B1868" s="29"/>
      <c r="C1868" s="89" t="s">
        <v>997</v>
      </c>
      <c r="D1868" s="44">
        <v>2017553</v>
      </c>
      <c r="E1868" s="42">
        <v>425293</v>
      </c>
      <c r="F1868" s="42">
        <f t="shared" ref="F1868:G1868" si="1341">+F1867+F1866</f>
        <v>4022091</v>
      </c>
      <c r="G1868" s="42">
        <f t="shared" si="1341"/>
        <v>0</v>
      </c>
      <c r="H1868" s="248">
        <f t="shared" ref="H1868:I1868" si="1342">+H1867+H1866</f>
        <v>4022091</v>
      </c>
      <c r="I1868" s="42">
        <f t="shared" si="1342"/>
        <v>0</v>
      </c>
      <c r="J1868" s="248">
        <f t="shared" ref="J1868:L1868" si="1343">+J1867+J1866</f>
        <v>4022091</v>
      </c>
      <c r="K1868" s="248">
        <f t="shared" si="1343"/>
        <v>1803107</v>
      </c>
      <c r="L1868" s="42">
        <f t="shared" si="1343"/>
        <v>6773000</v>
      </c>
      <c r="M1868" s="335">
        <f t="shared" si="1330"/>
        <v>0.68394996532897934</v>
      </c>
      <c r="N1868" s="329">
        <f t="shared" si="1337"/>
        <v>2750909</v>
      </c>
    </row>
    <row r="1869" spans="1:14" ht="14.1" customHeight="1" thickBot="1">
      <c r="A1869" s="90" t="s">
        <v>998</v>
      </c>
      <c r="B1869" s="91"/>
      <c r="C1869" s="92" t="s">
        <v>999</v>
      </c>
      <c r="D1869" s="52">
        <v>713368</v>
      </c>
      <c r="E1869" s="17">
        <v>-1571465</v>
      </c>
      <c r="F1869" s="224">
        <v>-1031767</v>
      </c>
      <c r="G1869" s="17">
        <f>941977+15421.62</f>
        <v>957398.62</v>
      </c>
      <c r="H1869" s="259">
        <f>SUM(F1869:G1869)</f>
        <v>-74368.38</v>
      </c>
      <c r="I1869" s="17">
        <v>130</v>
      </c>
      <c r="J1869" s="259">
        <f>SUM(H1869:I1869)</f>
        <v>-74238.38</v>
      </c>
      <c r="K1869" s="272">
        <v>-858297.78</v>
      </c>
      <c r="L1869" s="224">
        <v>-100000</v>
      </c>
      <c r="M1869" s="339"/>
      <c r="N1869" s="329"/>
    </row>
    <row r="1870" spans="1:14" ht="14.1" customHeight="1" thickTop="1">
      <c r="A1870" s="115"/>
      <c r="B1870" s="116"/>
      <c r="C1870" s="43" t="s">
        <v>1000</v>
      </c>
      <c r="D1870" s="52"/>
      <c r="E1870" s="17">
        <v>14840</v>
      </c>
      <c r="F1870" s="224"/>
      <c r="G1870" s="17"/>
      <c r="H1870" s="245">
        <f>94616+146000+200000-31210</f>
        <v>409406</v>
      </c>
      <c r="I1870" s="245"/>
      <c r="J1870" s="245">
        <f>+I1870+H1870</f>
        <v>409406</v>
      </c>
      <c r="K1870" s="20">
        <v>1676315</v>
      </c>
      <c r="L1870" s="309">
        <f>313000+270000</f>
        <v>583000</v>
      </c>
      <c r="N1870" s="329"/>
    </row>
    <row r="1871" spans="1:14" ht="14.1" customHeight="1">
      <c r="A1871" s="133"/>
      <c r="B1871" s="134"/>
      <c r="C1871" s="135" t="s">
        <v>1001</v>
      </c>
      <c r="D1871" s="95">
        <v>0</v>
      </c>
      <c r="E1871" s="323">
        <v>0</v>
      </c>
      <c r="F1871" s="323">
        <v>0</v>
      </c>
      <c r="G1871" s="323">
        <v>0</v>
      </c>
      <c r="H1871" s="324">
        <f>+H1863+H1868+H1869+H1870</f>
        <v>-0.38000000000465661</v>
      </c>
      <c r="I1871" s="323">
        <v>0</v>
      </c>
      <c r="J1871" s="324">
        <f>+J1863+J1868+J1869+J1870</f>
        <v>30688.619999999995</v>
      </c>
      <c r="K1871" s="324">
        <f t="shared" ref="K1871" si="1344">+K1863+K1868+K1869+K1870</f>
        <v>0.40999999665655196</v>
      </c>
      <c r="L1871" s="324">
        <f>+L1863+L1868+L1869+L1870</f>
        <v>11300</v>
      </c>
      <c r="M1871" s="340"/>
      <c r="N1871" s="329"/>
    </row>
    <row r="1872" spans="1:14" ht="14.1" customHeight="1">
      <c r="A1872" s="14"/>
      <c r="B1872" s="15"/>
      <c r="C1872" s="1"/>
      <c r="F1872" s="20"/>
      <c r="L1872" s="20" t="s">
        <v>1002</v>
      </c>
    </row>
    <row r="1875" spans="1:14" ht="14.1" customHeight="1">
      <c r="C1875" s="16"/>
    </row>
    <row r="1876" spans="1:14" ht="14.1" customHeight="1">
      <c r="C1876" s="20"/>
    </row>
    <row r="1877" spans="1:14" ht="14.1" customHeight="1">
      <c r="D1877" s="118"/>
    </row>
    <row r="1879" spans="1:14" s="7" customFormat="1" ht="14.1" customHeight="1">
      <c r="A1879" s="10"/>
      <c r="B1879" s="4"/>
      <c r="C1879" s="9"/>
      <c r="D1879" s="49"/>
      <c r="E1879" s="16"/>
      <c r="F1879" s="220"/>
      <c r="G1879" s="190"/>
      <c r="H1879" s="16"/>
      <c r="I1879" s="190"/>
      <c r="J1879" s="16"/>
      <c r="K1879" s="16"/>
      <c r="L1879" s="220"/>
      <c r="M1879" s="341"/>
      <c r="N1879" s="332"/>
    </row>
  </sheetData>
  <phoneticPr fontId="2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DA8B-5121-4B78-95DD-123978146A11}">
  <dimension ref="A1:A10"/>
  <sheetViews>
    <sheetView workbookViewId="0">
      <selection activeCell="D25" sqref="D25"/>
    </sheetView>
  </sheetViews>
  <sheetFormatPr defaultRowHeight="12.6"/>
  <sheetData>
    <row r="1" ht="23.25" customHeight="1"/>
    <row r="2" ht="23.25" customHeight="1"/>
    <row r="3" ht="23.25" customHeight="1"/>
    <row r="4" ht="23.25" customHeight="1"/>
    <row r="5" ht="23.25" customHeight="1"/>
    <row r="6" ht="23.25" customHeight="1"/>
    <row r="7" ht="23.25" customHeight="1"/>
    <row r="8" ht="23.25" customHeight="1"/>
    <row r="9" ht="23.25" customHeight="1"/>
    <row r="10" ht="23.25" customHeight="1"/>
  </sheetData>
  <printOptions gridLines="1"/>
  <pageMargins left="0.7" right="0.16" top="0.22" bottom="0.43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49D1D46C23443A2976C7D7560F309" ma:contentTypeVersion="12" ma:contentTypeDescription="Create a new document." ma:contentTypeScope="" ma:versionID="390f7adba50948d29591ba2108e285b5">
  <xsd:schema xmlns:xsd="http://www.w3.org/2001/XMLSchema" xmlns:xs="http://www.w3.org/2001/XMLSchema" xmlns:p="http://schemas.microsoft.com/office/2006/metadata/properties" xmlns:ns1="http://schemas.microsoft.com/sharepoint/v3" xmlns:ns3="f5774fc8-a5a4-4699-a315-a0e3181bc23f" xmlns:ns4="fba75f42-ce50-4497-a3ab-6fc2fdfbc707" targetNamespace="http://schemas.microsoft.com/office/2006/metadata/properties" ma:root="true" ma:fieldsID="1eb8af950d93d8f5ceec354a47bd8470" ns1:_="" ns3:_="" ns4:_="">
    <xsd:import namespace="http://schemas.microsoft.com/sharepoint/v3"/>
    <xsd:import namespace="f5774fc8-a5a4-4699-a315-a0e3181bc23f"/>
    <xsd:import namespace="fba75f42-ce50-4497-a3ab-6fc2fdfbc7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4fc8-a5a4-4699-a315-a0e3181bc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75f42-ce50-4497-a3ab-6fc2fdfbc70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46842B-85E9-4520-BF17-50FEDA89380F}"/>
</file>

<file path=customXml/itemProps2.xml><?xml version="1.0" encoding="utf-8"?>
<ds:datastoreItem xmlns:ds="http://schemas.openxmlformats.org/officeDocument/2006/customXml" ds:itemID="{613F861E-302E-4A5B-8A44-34F84004FA4C}"/>
</file>

<file path=customXml/itemProps3.xml><?xml version="1.0" encoding="utf-8"?>
<ds:datastoreItem xmlns:ds="http://schemas.openxmlformats.org/officeDocument/2006/customXml" ds:itemID="{333CFE8C-7B0D-4240-892A-53D11F5445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Maire</dc:creator>
  <cp:keywords/>
  <dc:description/>
  <cp:lastModifiedBy>Jarno Laur</cp:lastModifiedBy>
  <cp:revision/>
  <dcterms:created xsi:type="dcterms:W3CDTF">2011-12-15T08:12:24Z</dcterms:created>
  <dcterms:modified xsi:type="dcterms:W3CDTF">2023-11-10T11:15:27Z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0x0101000C849D1D46C23443A2976C7D7560F309</vt:lpwstr>
  </property>
</Properties>
</file>